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давливание колонной" sheetId="1" r:id="rId4"/>
    <sheet state="visible" name="Характеристики материалов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7">
      <text>
        <t xml:space="preserve">Размер стороны колонны вдоль оси Y</t>
      </text>
    </comment>
    <comment authorId="0" ref="C8">
      <text>
        <t xml:space="preserve">Размер стороны колонны вдоль оси X</t>
      </text>
    </comment>
    <comment authorId="0" ref="I8">
      <text>
        <t xml:space="preserve">Реакция колонны, направленная в сторону внутренней нормали к соответствующей грани плиты</t>
      </text>
    </comment>
    <comment authorId="0" ref="I9">
      <text>
        <t xml:space="preserve">Сосредоточенный момент вдоль оси X.
Положительный момент соответствует состоянию, при котором наиболее напряженное волокно расчетного сечения расположено по краю сечения, наиболее удаленному от свободного края плиты.</t>
      </text>
    </comment>
    <comment authorId="0" ref="I10">
      <text>
        <t xml:space="preserve">Сосредоточенный момент вдоль оси Y.
Положительный момент соответствует состоянию, при котором наиболее напряженное волокно расчетного сечения расположено по краю сечения, наиболее удаленному от свободного края плиты.</t>
      </text>
    </comment>
    <comment authorId="0" ref="F15">
      <text>
        <t xml:space="preserve">Нормальная сила от собственного веса плиты в пределах расчетного контура</t>
      </text>
    </comment>
    <comment authorId="0" ref="F16">
      <text>
        <t xml:space="preserve">Нормальная сила от разгружающего действия распределенной нагрузки в пределах зоны, расположенной на расстоянии h0 от контура поперечного сечения колонны</t>
      </text>
    </comment>
    <comment authorId="0" ref="F17">
      <text>
        <t xml:space="preserve">Расчетная сосредоточенная сила от внешней нагрузки</t>
      </text>
    </comment>
    <comment authorId="0" ref="H17">
      <text>
        <t xml:space="preserve">Расчетный изгибающий момент в направлении оси X</t>
      </text>
    </comment>
    <comment authorId="0" ref="J17">
      <text>
        <t xml:space="preserve">Расчетный изгибающий момент в направлении оси Y</t>
      </text>
    </comment>
    <comment authorId="0" ref="C21">
      <text>
        <t xml:space="preserve">Эксцентриситет сосредоточенной нормальной силы F
e0x=x0-x</t>
      </text>
    </comment>
    <comment authorId="0" ref="C22">
      <text>
        <t xml:space="preserve">Эксцентриситет сосредоточенной нормальной силы F
e0y=y0-y</t>
      </text>
    </comment>
    <comment authorId="0" ref="C23">
      <text>
        <t xml:space="preserve">Площадь зоны плиты, ограниченная расчетным контуром</t>
      </text>
    </comment>
    <comment authorId="0" ref="F23">
      <text>
        <t xml:space="preserve">Коэффициент условий работы, учитывающий влияние длительности действия статической нагрузки:
1 - при непродолжительном действии нагрузки
0.9 - при длительном действии нагрузки</t>
      </text>
    </comment>
    <comment authorId="0" ref="C24">
      <text>
        <t xml:space="preserve">Площадь зоны, расположенной на расстоянии h0 от контура поперечного сечения колонны</t>
      </text>
    </comment>
    <comment authorId="0" ref="F24">
      <text>
        <t xml:space="preserve">Результирующий коэффициент без γb1</t>
      </text>
    </comment>
    <comment authorId="0" ref="F25">
      <text>
        <t xml:space="preserve">Предельное усилие, воспринимаемое бетоном</t>
      </text>
    </comment>
    <comment authorId="0" ref="H25">
      <text>
        <t xml:space="preserve">Предельный сосредоточенный момент вдоль оси X, воспринимаемый бетоном</t>
      </text>
    </comment>
    <comment authorId="0" ref="J25">
      <text>
        <t xml:space="preserve">Предельный сосредоточенный момент вдоль оси Y, воспринимаемый бетоном</t>
      </text>
    </comment>
    <comment authorId="0" ref="F32">
      <text>
        <t xml:space="preserve">Предельное усилие, воспринимаемое поперечной арматурой</t>
      </text>
    </comment>
    <comment authorId="0" ref="H32">
      <text>
        <t xml:space="preserve">Предельный сосредоточенный момент вдоль оси X, воспринимаемый поперечной арматурой</t>
      </text>
    </comment>
    <comment authorId="0" ref="J32">
      <text>
        <t xml:space="preserve">Предельный сосредоточенный момент вдоль оси Y, воспринимаемый поперечной арматурой</t>
      </text>
    </comment>
    <comment authorId="0" ref="C36">
      <text>
        <t xml:space="preserve">Площадь сечения поперечной арматуры с шагом sw, расположенная в пределах 0.5h0 по обе стороны контура расчетного поперечного сечения плиты</t>
      </text>
    </comment>
    <comment authorId="0" ref="C37">
      <text>
        <t xml:space="preserve">Расстояние между стержнями в направлении параллельном сторонам расчетного контура.
Принимается не более ¼ длины стороны расчетного контура</t>
      </text>
    </comment>
    <comment authorId="0" ref="C38">
      <text>
        <t xml:space="preserve">Усилие в поперечной арматуре на единицу длины контура расчетного поперечного сечения, расположенной в пределах 0.5h0 по обе стороны от контура расчетного сечения</t>
      </text>
    </comment>
  </commentList>
</comments>
</file>

<file path=xl/sharedStrings.xml><?xml version="1.0" encoding="utf-8"?>
<sst xmlns="http://schemas.openxmlformats.org/spreadsheetml/2006/main" count="114" uniqueCount="109">
  <si>
    <t>Расчет железобетонных элементов на продавливание по СП 63.13330.2018</t>
  </si>
  <si>
    <t>с учетом положений научно-технического отчета ГУП НИИЖБ (договор № 709 от 01.10.2002 г.)</t>
  </si>
  <si>
    <t>Сечение колонны</t>
  </si>
  <si>
    <t>Сечение плиты</t>
  </si>
  <si>
    <t>Нагрузки у граней плиты</t>
  </si>
  <si>
    <r>
      <rPr>
        <rFont val="Times New Roman"/>
        <color theme="1"/>
        <sz val="10.0"/>
      </rPr>
      <t>b</t>
    </r>
    <r>
      <rPr>
        <rFont val="Times New Roman"/>
        <color theme="1"/>
        <sz val="8.0"/>
      </rPr>
      <t>1</t>
    </r>
    <r>
      <rPr>
        <rFont val="Times New Roman"/>
        <color theme="1"/>
        <sz val="10.0"/>
      </rPr>
      <t>, мм</t>
    </r>
  </si>
  <si>
    <t>h, мм</t>
  </si>
  <si>
    <t>над плитой</t>
  </si>
  <si>
    <t>под плитой</t>
  </si>
  <si>
    <r>
      <rPr>
        <rFont val="Times New Roman"/>
        <color theme="1"/>
        <sz val="10.0"/>
      </rPr>
      <t>a</t>
    </r>
    <r>
      <rPr>
        <rFont val="Times New Roman"/>
        <color theme="1"/>
        <sz val="8.0"/>
      </rPr>
      <t>1</t>
    </r>
    <r>
      <rPr>
        <rFont val="Times New Roman"/>
        <color theme="1"/>
        <sz val="10.0"/>
      </rPr>
      <t>, мм</t>
    </r>
  </si>
  <si>
    <r>
      <rPr>
        <rFont val="Times New Roman"/>
        <color theme="1"/>
        <sz val="10.0"/>
      </rPr>
      <t>a</t>
    </r>
    <r>
      <rPr>
        <rFont val="Times New Roman"/>
        <color theme="1"/>
        <sz val="10.0"/>
        <vertAlign val="subscript"/>
      </rPr>
      <t>x</t>
    </r>
    <r>
      <rPr>
        <rFont val="Times New Roman"/>
        <color theme="1"/>
        <sz val="10.0"/>
      </rPr>
      <t>, мм</t>
    </r>
  </si>
  <si>
    <r>
      <rPr>
        <rFont val="Times New Roman"/>
        <color theme="1"/>
        <sz val="10.0"/>
      </rPr>
      <t>F</t>
    </r>
    <r>
      <rPr>
        <rFont val="Times New Roman"/>
        <color theme="1"/>
        <sz val="10.0"/>
        <vertAlign val="subscript"/>
      </rPr>
      <t>i</t>
    </r>
    <r>
      <rPr>
        <rFont val="Times New Roman"/>
        <color theme="1"/>
        <sz val="10.0"/>
      </rPr>
      <t>, т</t>
    </r>
  </si>
  <si>
    <r>
      <rPr>
        <rFont val="Times New Roman"/>
        <color theme="1"/>
        <sz val="10.0"/>
      </rPr>
      <t>c</t>
    </r>
    <r>
      <rPr>
        <rFont val="Times New Roman"/>
        <color theme="1"/>
        <sz val="10.0"/>
        <vertAlign val="subscript"/>
      </rPr>
      <t>x</t>
    </r>
    <r>
      <rPr>
        <rFont val="Times New Roman"/>
        <color theme="1"/>
        <sz val="10.0"/>
      </rPr>
      <t>, мм</t>
    </r>
  </si>
  <si>
    <r>
      <rPr>
        <rFont val="Times New Roman"/>
        <color theme="1"/>
        <sz val="10.0"/>
      </rPr>
      <t>a</t>
    </r>
    <r>
      <rPr>
        <rFont val="Times New Roman"/>
        <color theme="1"/>
        <sz val="10.0"/>
        <vertAlign val="subscript"/>
      </rPr>
      <t>y</t>
    </r>
    <r>
      <rPr>
        <rFont val="Times New Roman"/>
        <color theme="1"/>
        <sz val="10.0"/>
      </rPr>
      <t>, мм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</si>
  <si>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xi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</si>
  <si>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c</t>
    </r>
    <r>
      <rPr>
        <rFont val="Times New Roman"/>
        <color theme="1"/>
        <sz val="10.0"/>
        <vertAlign val="subscript"/>
      </rPr>
      <t>y</t>
    </r>
    <r>
      <rPr>
        <rFont val="Times New Roman"/>
        <color theme="1"/>
        <sz val="10.0"/>
      </rPr>
      <t>, мм</t>
    </r>
  </si>
  <si>
    <r>
      <rPr>
        <rFont val="Times New Roman"/>
        <color theme="1"/>
        <sz val="10.0"/>
      </rPr>
      <t>h</t>
    </r>
    <r>
      <rPr>
        <rFont val="Times New Roman"/>
        <color theme="1"/>
        <sz val="10.0"/>
        <vertAlign val="subscript"/>
      </rPr>
      <t>0</t>
    </r>
    <r>
      <rPr>
        <rFont val="Times New Roman"/>
        <color theme="1"/>
        <sz val="10.0"/>
      </rPr>
      <t>, мм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</si>
  <si>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yi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</si>
  <si>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q</t>
    </r>
    <r>
      <rPr>
        <rFont val="Times New Roman"/>
        <color theme="1"/>
        <sz val="10.0"/>
        <vertAlign val="subscript"/>
      </rPr>
      <t>i</t>
    </r>
    <r>
      <rPr>
        <rFont val="Times New Roman"/>
        <color theme="1"/>
        <sz val="10.0"/>
      </rPr>
      <t>, т/м</t>
    </r>
    <r>
      <rPr>
        <rFont val="Times New Roman"/>
        <color theme="1"/>
        <sz val="10.0"/>
        <vertAlign val="superscript"/>
      </rPr>
      <t>2</t>
    </r>
  </si>
  <si>
    <t>Контур расчетного поперечного сечения</t>
  </si>
  <si>
    <t>Нагрузки на расчетный контур</t>
  </si>
  <si>
    <r>
      <rPr>
        <rFont val="Times New Roman"/>
        <color theme="1"/>
        <sz val="10.0"/>
      </rPr>
      <t>N</t>
    </r>
    <r>
      <rPr>
        <rFont val="Times New Roman"/>
        <color theme="1"/>
        <sz val="10.0"/>
        <vertAlign val="subscript"/>
      </rPr>
      <t>sup</t>
    </r>
    <r>
      <rPr>
        <rFont val="Times New Roman"/>
        <color theme="1"/>
        <sz val="10.0"/>
      </rPr>
      <t>, т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</si>
  <si>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x,sup+int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</si>
  <si>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y,sup+int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</si>
  <si>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l</t>
    </r>
    <r>
      <rPr>
        <rFont val="Times New Roman"/>
        <color theme="1"/>
        <sz val="10.0"/>
        <vertAlign val="subscript"/>
      </rPr>
      <t>x</t>
    </r>
    <r>
      <rPr>
        <rFont val="Times New Roman"/>
        <color theme="1"/>
        <sz val="10.0"/>
      </rPr>
      <t>, м</t>
    </r>
  </si>
  <si>
    <r>
      <rPr>
        <rFont val="Times New Roman"/>
        <color theme="1"/>
        <sz val="10.0"/>
      </rPr>
      <t>N</t>
    </r>
    <r>
      <rPr>
        <rFont val="Times New Roman"/>
        <color theme="1"/>
        <sz val="10.0"/>
        <vertAlign val="subscript"/>
      </rPr>
      <t>int</t>
    </r>
    <r>
      <rPr>
        <rFont val="Times New Roman"/>
        <color theme="1"/>
        <sz val="10.0"/>
      </rPr>
      <t>, т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</si>
  <si>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x,q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</si>
  <si>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y,q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</si>
  <si>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l</t>
    </r>
    <r>
      <rPr>
        <rFont val="Times New Roman"/>
        <color theme="1"/>
        <sz val="10.0"/>
        <vertAlign val="subscript"/>
      </rPr>
      <t>y</t>
    </r>
    <r>
      <rPr>
        <rFont val="Times New Roman"/>
        <color theme="1"/>
        <sz val="10.0"/>
      </rPr>
      <t>, м</t>
    </r>
  </si>
  <si>
    <r>
      <rPr>
        <rFont val="Times New Roman"/>
        <color theme="1"/>
        <sz val="10.0"/>
      </rPr>
      <t>F</t>
    </r>
    <r>
      <rPr>
        <rFont val="Times New Roman"/>
        <color theme="1"/>
        <sz val="10.0"/>
        <vertAlign val="subscript"/>
      </rPr>
      <t>q1</t>
    </r>
    <r>
      <rPr>
        <rFont val="Times New Roman"/>
        <color theme="1"/>
        <sz val="10.0"/>
      </rPr>
      <t>, т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</si>
  <si>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x,loc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</si>
  <si>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y,loc</t>
    </r>
    <r>
      <rPr>
        <rFont val="Times New Roman"/>
        <color theme="1"/>
        <sz val="10.0"/>
      </rPr>
      <t>, тм</t>
    </r>
  </si>
  <si>
    <t>u, м</t>
  </si>
  <si>
    <r>
      <rPr>
        <rFont val="Times New Roman"/>
        <color theme="1"/>
        <sz val="10.0"/>
      </rPr>
      <t>F</t>
    </r>
    <r>
      <rPr>
        <rFont val="Times New Roman"/>
        <color theme="1"/>
        <sz val="10.0"/>
        <vertAlign val="subscript"/>
      </rPr>
      <t>q</t>
    </r>
    <r>
      <rPr>
        <rFont val="Times New Roman"/>
        <color theme="1"/>
        <sz val="10.0"/>
      </rPr>
      <t>, т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</si>
  <si>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x,F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</si>
  <si>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y,F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</si>
  <si>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x</t>
    </r>
    <r>
      <rPr>
        <rFont val="Times New Roman"/>
        <color theme="1"/>
        <sz val="10.0"/>
        <vertAlign val="subscript"/>
      </rPr>
      <t>0</t>
    </r>
    <r>
      <rPr>
        <rFont val="Times New Roman"/>
        <color theme="1"/>
        <sz val="10.0"/>
      </rPr>
      <t>, м</t>
    </r>
  </si>
  <si>
    <t>F, т</t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</si>
  <si>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x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</si>
  <si>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y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</si>
  <si>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y</t>
    </r>
    <r>
      <rPr>
        <rFont val="Times New Roman"/>
        <color theme="1"/>
        <sz val="10.0"/>
        <vertAlign val="subscript"/>
      </rPr>
      <t>0</t>
    </r>
    <r>
      <rPr>
        <rFont val="Times New Roman"/>
        <color theme="1"/>
        <sz val="10.0"/>
      </rPr>
      <t>, м</t>
    </r>
  </si>
  <si>
    <r>
      <rPr>
        <rFont val="Times New Roman"/>
        <color theme="1"/>
        <sz val="10.0"/>
      </rPr>
      <t>x</t>
    </r>
    <r>
      <rPr>
        <rFont val="Times New Roman"/>
        <color theme="1"/>
        <sz val="10.0"/>
      </rPr>
      <t>, м</t>
    </r>
  </si>
  <si>
    <t>Несущая способность бетонного сечения без поперечной арматуры</t>
  </si>
  <si>
    <r>
      <rPr>
        <rFont val="Times New Roman"/>
        <color theme="1"/>
        <sz val="10.0"/>
      </rPr>
      <t>y</t>
    </r>
    <r>
      <rPr>
        <rFont val="Times New Roman"/>
        <color theme="1"/>
        <sz val="10.0"/>
      </rPr>
      <t>, м</t>
    </r>
  </si>
  <si>
    <t>Бетон</t>
  </si>
  <si>
    <r>
      <rPr>
        <rFont val="Times New Roman"/>
        <color theme="1"/>
        <sz val="10.0"/>
      </rPr>
      <t>I</t>
    </r>
    <r>
      <rPr>
        <rFont val="Times New Roman"/>
        <color theme="1"/>
        <sz val="10.0"/>
        <vertAlign val="subscript"/>
      </rPr>
      <t>bx1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</si>
  <si>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0.0"/>
      </rPr>
      <t>I</t>
    </r>
    <r>
      <rPr>
        <rFont val="Times New Roman"/>
        <color theme="1"/>
        <sz val="10.0"/>
        <vertAlign val="subscript"/>
      </rPr>
      <t>by1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</si>
  <si>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0.0"/>
      </rPr>
      <t>e</t>
    </r>
    <r>
      <rPr>
        <rFont val="Times New Roman"/>
        <color theme="1"/>
        <sz val="10.0"/>
        <vertAlign val="subscript"/>
      </rPr>
      <t>0x</t>
    </r>
    <r>
      <rPr>
        <rFont val="Times New Roman"/>
        <color theme="1"/>
        <sz val="10.0"/>
      </rPr>
      <t>, м</t>
    </r>
  </si>
  <si>
    <t>Класс</t>
  </si>
  <si>
    <t>B30</t>
  </si>
  <si>
    <r>
      <rPr>
        <rFont val="Times New Roman"/>
        <color theme="1"/>
        <sz val="10.0"/>
      </rPr>
      <t>I</t>
    </r>
    <r>
      <rPr>
        <rFont val="Times New Roman"/>
        <color theme="1"/>
        <sz val="10.0"/>
        <vertAlign val="subscript"/>
      </rPr>
      <t>bx2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</si>
  <si>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0.0"/>
      </rPr>
      <t>I</t>
    </r>
    <r>
      <rPr>
        <rFont val="Times New Roman"/>
        <color theme="1"/>
        <sz val="10.0"/>
        <vertAlign val="subscript"/>
      </rPr>
      <t>by2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</si>
  <si>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0.0"/>
      </rPr>
      <t>e</t>
    </r>
    <r>
      <rPr>
        <rFont val="Times New Roman"/>
        <color theme="1"/>
        <sz val="10.0"/>
        <vertAlign val="subscript"/>
      </rPr>
      <t>0y</t>
    </r>
    <r>
      <rPr>
        <rFont val="Times New Roman"/>
        <color theme="1"/>
        <sz val="10.0"/>
      </rPr>
      <t>, м</t>
    </r>
  </si>
  <si>
    <r>
      <rPr>
        <rFont val="Times New Roman"/>
        <color theme="1"/>
        <sz val="10.0"/>
      </rPr>
      <t>R</t>
    </r>
    <r>
      <rPr>
        <rFont val="Times New Roman"/>
        <color theme="1"/>
        <sz val="10.0"/>
        <vertAlign val="subscript"/>
      </rPr>
      <t>bt</t>
    </r>
    <r>
      <rPr>
        <rFont val="Times New Roman"/>
        <color theme="1"/>
        <sz val="10.0"/>
      </rPr>
      <t>, т/м</t>
    </r>
    <r>
      <rPr>
        <rFont val="Times New Roman"/>
        <color theme="1"/>
        <sz val="10.0"/>
        <vertAlign val="superscript"/>
      </rPr>
      <t>2</t>
    </r>
  </si>
  <si>
    <r>
      <rPr>
        <rFont val="Times New Roman"/>
        <color theme="1"/>
        <sz val="10.0"/>
      </rPr>
      <t>I</t>
    </r>
    <r>
      <rPr>
        <rFont val="Times New Roman"/>
        <color theme="1"/>
        <sz val="10.0"/>
        <vertAlign val="subscript"/>
      </rPr>
      <t>bx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</si>
  <si>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0.0"/>
      </rPr>
      <t>I</t>
    </r>
    <r>
      <rPr>
        <rFont val="Times New Roman"/>
        <color theme="1"/>
        <sz val="10.0"/>
        <vertAlign val="subscript"/>
      </rPr>
      <t>by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</si>
  <si>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0.0"/>
      </rPr>
      <t>A</t>
    </r>
    <r>
      <rPr>
        <rFont val="Times New Roman"/>
        <color theme="1"/>
        <sz val="10.0"/>
        <vertAlign val="subscript"/>
      </rPr>
      <t>q1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2</t>
    </r>
  </si>
  <si>
    <r>
      <rPr>
        <rFont val="Times New Roman"/>
        <color theme="1"/>
        <sz val="10.0"/>
      </rPr>
      <t>γ</t>
    </r>
    <r>
      <rPr>
        <rFont val="Times New Roman"/>
        <color theme="1"/>
        <sz val="10.0"/>
        <vertAlign val="subscript"/>
      </rPr>
      <t>b1</t>
    </r>
  </si>
  <si>
    <r>
      <rPr>
        <rFont val="Times New Roman"/>
        <color theme="1"/>
        <sz val="10.0"/>
      </rPr>
      <t>W</t>
    </r>
    <r>
      <rPr>
        <rFont val="Times New Roman"/>
        <color theme="1"/>
        <sz val="10.0"/>
        <vertAlign val="superscript"/>
      </rPr>
      <t xml:space="preserve"> –</t>
    </r>
    <r>
      <rPr>
        <rFont val="Times New Roman"/>
        <color theme="1"/>
        <sz val="10.0"/>
        <vertAlign val="subscript"/>
      </rPr>
      <t>bx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2</t>
    </r>
  </si>
  <si>
    <r>
      <rPr>
        <rFont val="Times New Roman"/>
        <color theme="1"/>
        <sz val="10.0"/>
      </rPr>
      <t>W</t>
    </r>
    <r>
      <rPr>
        <rFont val="Times New Roman"/>
        <color theme="1"/>
        <sz val="10.0"/>
        <vertAlign val="superscript"/>
      </rPr>
      <t xml:space="preserve"> –</t>
    </r>
    <r>
      <rPr>
        <rFont val="Times New Roman"/>
        <color theme="1"/>
        <sz val="10.0"/>
        <vertAlign val="subscript"/>
      </rPr>
      <t>by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2</t>
    </r>
  </si>
  <si>
    <r>
      <rPr>
        <rFont val="Times New Roman"/>
        <color theme="1"/>
        <sz val="10.0"/>
      </rPr>
      <t>A</t>
    </r>
    <r>
      <rPr>
        <rFont val="Times New Roman"/>
        <color theme="1"/>
        <sz val="10.0"/>
        <vertAlign val="subscript"/>
      </rPr>
      <t>q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2</t>
    </r>
  </si>
  <si>
    <r>
      <rPr>
        <rFont val="Times New Roman"/>
        <color theme="1"/>
        <sz val="10.0"/>
      </rPr>
      <t>γ</t>
    </r>
    <r>
      <rPr>
        <rFont val="Times New Roman"/>
        <color theme="1"/>
        <sz val="10.0"/>
        <vertAlign val="subscript"/>
      </rPr>
      <t>b2</t>
    </r>
    <r>
      <rPr>
        <rFont val="Times New Roman"/>
        <color theme="1"/>
        <sz val="10.0"/>
      </rPr>
      <t>∙γ</t>
    </r>
    <r>
      <rPr>
        <rFont val="Times New Roman"/>
        <color theme="1"/>
        <sz val="10.0"/>
        <vertAlign val="subscript"/>
      </rPr>
      <t>b3</t>
    </r>
    <r>
      <rPr>
        <rFont val="Times New Roman"/>
        <color theme="1"/>
        <sz val="10.0"/>
      </rPr>
      <t>∙γ</t>
    </r>
    <r>
      <rPr>
        <rFont val="Times New Roman"/>
        <color theme="1"/>
        <sz val="10.0"/>
        <vertAlign val="subscript"/>
      </rPr>
      <t>b4</t>
    </r>
  </si>
  <si>
    <r>
      <rPr>
        <rFont val="Times New Roman"/>
        <color theme="1"/>
        <sz val="10.0"/>
      </rPr>
      <t>W</t>
    </r>
    <r>
      <rPr>
        <rFont val="Times New Roman"/>
        <color theme="1"/>
        <sz val="10.0"/>
        <vertAlign val="superscript"/>
      </rPr>
      <t xml:space="preserve"> +</t>
    </r>
    <r>
      <rPr>
        <rFont val="Times New Roman"/>
        <color theme="1"/>
        <sz val="10.0"/>
        <vertAlign val="subscript"/>
      </rPr>
      <t>bx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2</t>
    </r>
  </si>
  <si>
    <r>
      <rPr>
        <rFont val="Times New Roman"/>
        <color theme="1"/>
        <sz val="10.0"/>
      </rPr>
      <t>W</t>
    </r>
    <r>
      <rPr>
        <rFont val="Times New Roman"/>
        <color theme="1"/>
        <sz val="10.0"/>
        <vertAlign val="superscript"/>
      </rPr>
      <t xml:space="preserve"> +</t>
    </r>
    <r>
      <rPr>
        <rFont val="Times New Roman"/>
        <color theme="1"/>
        <sz val="10.0"/>
        <vertAlign val="subscript"/>
      </rPr>
      <t>by</t>
    </r>
    <r>
      <rPr>
        <rFont val="Times New Roman"/>
        <color theme="1"/>
        <sz val="10.0"/>
      </rPr>
      <t>, м</t>
    </r>
    <r>
      <rPr>
        <rFont val="Times New Roman"/>
        <color theme="1"/>
        <sz val="10.0"/>
        <vertAlign val="superscript"/>
      </rPr>
      <t>2</t>
    </r>
  </si>
  <si>
    <r>
      <rPr>
        <rFont val="Times New Roman"/>
        <color theme="1"/>
        <sz val="10.0"/>
      </rPr>
      <t>e</t>
    </r>
    <r>
      <rPr>
        <rFont val="Times New Roman"/>
        <color theme="1"/>
        <sz val="10.0"/>
        <vertAlign val="subscript"/>
      </rPr>
      <t>qx</t>
    </r>
    <r>
      <rPr>
        <rFont val="Times New Roman"/>
        <color theme="1"/>
        <sz val="10.0"/>
      </rPr>
      <t>, м</t>
    </r>
  </si>
  <si>
    <r>
      <rPr>
        <rFont val="Times New Roman"/>
        <color theme="1"/>
        <sz val="10.0"/>
      </rPr>
      <t>F</t>
    </r>
    <r>
      <rPr>
        <rFont val="Times New Roman"/>
        <color theme="1"/>
        <sz val="10.0"/>
        <vertAlign val="subscript"/>
      </rPr>
      <t>b,ult</t>
    </r>
    <r>
      <rPr>
        <rFont val="Times New Roman"/>
        <color theme="1"/>
        <sz val="10.0"/>
      </rPr>
      <t>, т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</si>
  <si>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bx,ult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</si>
  <si>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by,ult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</si>
  <si>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e</t>
    </r>
    <r>
      <rPr>
        <rFont val="Times New Roman"/>
        <color theme="1"/>
        <sz val="10.0"/>
        <vertAlign val="subscript"/>
      </rPr>
      <t>qy</t>
    </r>
    <r>
      <rPr>
        <rFont val="Times New Roman"/>
        <color theme="1"/>
        <sz val="10.0"/>
      </rPr>
      <t>, м</t>
    </r>
  </si>
  <si>
    <r>
      <rPr>
        <rFont val="Times New Roman"/>
        <color theme="1"/>
        <sz val="10.0"/>
      </rPr>
      <t>F/F</t>
    </r>
    <r>
      <rPr>
        <rFont val="Times New Roman"/>
        <color theme="1"/>
        <sz val="10.0"/>
        <vertAlign val="subscript"/>
      </rPr>
      <t>b,ult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</si>
  <si>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x</t>
    </r>
    <r>
      <rPr>
        <rFont val="Times New Roman"/>
        <color theme="1"/>
        <sz val="10.0"/>
      </rPr>
      <t>/M</t>
    </r>
    <r>
      <rPr>
        <rFont val="Times New Roman"/>
        <color theme="1"/>
        <sz val="10.0"/>
        <vertAlign val="subscript"/>
      </rPr>
      <t>bx,ult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</si>
  <si>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y</t>
    </r>
    <r>
      <rPr>
        <rFont val="Times New Roman"/>
        <color theme="1"/>
        <sz val="10.0"/>
      </rPr>
      <t>/M</t>
    </r>
    <r>
      <rPr>
        <rFont val="Times New Roman"/>
        <color theme="1"/>
        <sz val="10.0"/>
        <vertAlign val="subscript"/>
      </rPr>
      <t>by,ult</t>
    </r>
  </si>
  <si>
    <r>
      <rPr>
        <rFont val="Times New Roman"/>
        <color theme="1"/>
        <sz val="10.0"/>
      </rPr>
      <t>q</t>
    </r>
    <r>
      <rPr>
        <rFont val="Times New Roman"/>
        <color theme="1"/>
        <sz val="10.0"/>
        <vertAlign val="subscript"/>
      </rPr>
      <t>sw</t>
    </r>
    <r>
      <rPr>
        <rFont val="Times New Roman"/>
        <color theme="1"/>
        <sz val="10.0"/>
        <vertAlign val="superscript"/>
      </rPr>
      <t xml:space="preserve">тр </t>
    </r>
    <r>
      <rPr>
        <rFont val="Times New Roman"/>
        <color theme="1"/>
        <sz val="10.0"/>
      </rPr>
      <t>=</t>
    </r>
  </si>
  <si>
    <t>Арматура</t>
  </si>
  <si>
    <t>Несущая способность бетонного сечения с поперечной арматуры</t>
  </si>
  <si>
    <t>A500</t>
  </si>
  <si>
    <r>
      <rPr>
        <rFont val="Times New Roman"/>
        <color theme="1"/>
        <sz val="10.0"/>
      </rPr>
      <t>F</t>
    </r>
    <r>
      <rPr>
        <rFont val="Times New Roman"/>
        <color theme="1"/>
        <sz val="10.0"/>
        <vertAlign val="subscript"/>
      </rPr>
      <t>sw,ult</t>
    </r>
    <r>
      <rPr>
        <rFont val="Times New Roman"/>
        <color theme="1"/>
        <sz val="10.0"/>
      </rPr>
      <t>, т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</si>
  <si>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swx,ult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</si>
  <si>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swy,ult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</si>
  <si>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R</t>
    </r>
    <r>
      <rPr>
        <rFont val="Times New Roman"/>
        <color theme="1"/>
        <sz val="10.0"/>
        <vertAlign val="subscript"/>
      </rPr>
      <t>sw</t>
    </r>
    <r>
      <rPr>
        <rFont val="Times New Roman"/>
        <color theme="1"/>
        <sz val="10.0"/>
      </rPr>
      <t>, т/м</t>
    </r>
    <r>
      <rPr>
        <rFont val="Times New Roman"/>
        <color theme="1"/>
        <sz val="10.0"/>
        <vertAlign val="superscript"/>
      </rPr>
      <t>2</t>
    </r>
  </si>
  <si>
    <r>
      <rPr>
        <rFont val="Times New Roman"/>
        <color theme="1"/>
        <sz val="10.0"/>
      </rPr>
      <t>F</t>
    </r>
    <r>
      <rPr>
        <rFont val="Times New Roman"/>
        <color theme="1"/>
        <sz val="10.0"/>
        <vertAlign val="subscript"/>
      </rPr>
      <t>ult</t>
    </r>
    <r>
      <rPr>
        <rFont val="Times New Roman"/>
        <color theme="1"/>
        <sz val="10.0"/>
      </rPr>
      <t>, т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</si>
  <si>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x,ult</t>
    </r>
    <r>
      <rPr>
        <rFont val="Times New Roman"/>
        <color theme="1"/>
        <sz val="10.0"/>
      </rPr>
      <t>, тм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</si>
  <si>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y,ult</t>
    </r>
    <r>
      <rPr>
        <rFont val="Times New Roman"/>
        <color theme="1"/>
        <sz val="10.0"/>
      </rPr>
      <t>, тм</t>
    </r>
  </si>
  <si>
    <r>
      <rPr>
        <rFont val="Arial"/>
        <color theme="1"/>
        <sz val="10.0"/>
      </rPr>
      <t>∅</t>
    </r>
    <r>
      <rPr>
        <rFont val="Times New Roman"/>
        <color theme="1"/>
        <sz val="10.0"/>
      </rPr>
      <t xml:space="preserve"> , мм</t>
    </r>
  </si>
  <si>
    <r>
      <rPr>
        <rFont val="Times New Roman"/>
        <color theme="1"/>
        <sz val="10.0"/>
      </rPr>
      <t>F/F</t>
    </r>
    <r>
      <rPr>
        <rFont val="Times New Roman"/>
        <color theme="1"/>
        <sz val="10.0"/>
        <vertAlign val="subscript"/>
      </rPr>
      <t>ult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</si>
  <si>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x</t>
    </r>
    <r>
      <rPr>
        <rFont val="Times New Roman"/>
        <color theme="1"/>
        <sz val="10.0"/>
      </rPr>
      <t>/M</t>
    </r>
    <r>
      <rPr>
        <rFont val="Times New Roman"/>
        <color theme="1"/>
        <sz val="10.0"/>
        <vertAlign val="subscript"/>
      </rPr>
      <t>x,ult</t>
    </r>
  </si>
  <si>
    <r>
      <rPr>
        <rFont val="Times New Roman"/>
        <color theme="1"/>
        <sz val="10.0"/>
      </rPr>
      <t>M</t>
    </r>
    <r>
      <rPr>
        <rFont val="Times New Roman"/>
        <color theme="1"/>
        <sz val="10.0"/>
        <vertAlign val="subscript"/>
      </rPr>
      <t>y</t>
    </r>
    <r>
      <rPr>
        <rFont val="Times New Roman"/>
        <color theme="1"/>
        <sz val="10.0"/>
      </rPr>
      <t>/M</t>
    </r>
    <r>
      <rPr>
        <rFont val="Times New Roman"/>
        <color theme="1"/>
        <sz val="10.0"/>
        <vertAlign val="subscript"/>
      </rPr>
      <t>y,ult</t>
    </r>
  </si>
  <si>
    <t>n, шт</t>
  </si>
  <si>
    <r>
      <rPr>
        <rFont val="Times New Roman"/>
        <color theme="1"/>
        <sz val="10.0"/>
      </rPr>
      <t>A</t>
    </r>
    <r>
      <rPr>
        <rFont val="Times New Roman"/>
        <color theme="1"/>
        <sz val="10.0"/>
        <vertAlign val="subscript"/>
      </rPr>
      <t>sw</t>
    </r>
    <r>
      <rPr>
        <rFont val="Times New Roman"/>
        <color theme="1"/>
        <sz val="10.0"/>
      </rPr>
      <t>, см</t>
    </r>
    <r>
      <rPr>
        <rFont val="Times New Roman"/>
        <color theme="1"/>
        <sz val="10.0"/>
        <vertAlign val="superscript"/>
      </rPr>
      <t>2</t>
    </r>
  </si>
  <si>
    <r>
      <rPr>
        <rFont val="Times New Roman"/>
        <color theme="1"/>
        <sz val="10.0"/>
      </rPr>
      <t>s</t>
    </r>
    <r>
      <rPr>
        <rFont val="Times New Roman"/>
        <color theme="1"/>
        <sz val="10.0"/>
        <vertAlign val="subscript"/>
      </rPr>
      <t>w</t>
    </r>
    <r>
      <rPr>
        <rFont val="Times New Roman"/>
        <color theme="1"/>
        <sz val="10.0"/>
      </rPr>
      <t>, мм</t>
    </r>
  </si>
  <si>
    <r>
      <rPr>
        <rFont val="Times New Roman"/>
        <color theme="1"/>
        <sz val="10.0"/>
      </rPr>
      <t>q</t>
    </r>
    <r>
      <rPr>
        <rFont val="Times New Roman"/>
        <color theme="1"/>
        <sz val="10.0"/>
        <vertAlign val="subscript"/>
      </rPr>
      <t>sw</t>
    </r>
    <r>
      <rPr>
        <rFont val="Times New Roman"/>
        <color theme="1"/>
        <sz val="10.0"/>
      </rPr>
      <t>, т/м</t>
    </r>
  </si>
  <si>
    <r>
      <rPr>
        <rFont val="Arimo"/>
        <color theme="1"/>
        <sz val="10.0"/>
      </rPr>
      <t>R</t>
    </r>
    <r>
      <rPr>
        <rFont val="Arial Cyr"/>
        <color theme="1"/>
        <sz val="10.0"/>
        <vertAlign val="subscript"/>
      </rPr>
      <t>b</t>
    </r>
    <r>
      <rPr>
        <rFont val="Arial Cyr"/>
        <color theme="1"/>
        <sz val="10.0"/>
      </rPr>
      <t>, кг/см</t>
    </r>
    <r>
      <rPr>
        <rFont val="Arial Cyr"/>
        <color theme="1"/>
        <sz val="10.0"/>
        <vertAlign val="superscript"/>
      </rPr>
      <t>2</t>
    </r>
  </si>
  <si>
    <r>
      <rPr>
        <rFont val="Arimo"/>
        <color theme="1"/>
        <sz val="10.0"/>
      </rPr>
      <t>R</t>
    </r>
    <r>
      <rPr>
        <rFont val="Arial Cyr"/>
        <color theme="1"/>
        <sz val="10.0"/>
        <vertAlign val="subscript"/>
      </rPr>
      <t>bt</t>
    </r>
    <r>
      <rPr>
        <rFont val="Arial Cyr"/>
        <color theme="1"/>
        <sz val="10.0"/>
      </rPr>
      <t>, кг/см</t>
    </r>
    <r>
      <rPr>
        <rFont val="Arial Cyr"/>
        <color theme="1"/>
        <sz val="10.0"/>
        <vertAlign val="superscript"/>
      </rPr>
      <t>2</t>
    </r>
  </si>
  <si>
    <t>B10</t>
  </si>
  <si>
    <t>B15</t>
  </si>
  <si>
    <t>B20</t>
  </si>
  <si>
    <t>B25</t>
  </si>
  <si>
    <t>B35</t>
  </si>
  <si>
    <t>B40</t>
  </si>
  <si>
    <t>B45</t>
  </si>
  <si>
    <t>B50</t>
  </si>
  <si>
    <t>B55</t>
  </si>
  <si>
    <t>B60</t>
  </si>
  <si>
    <r>
      <rPr>
        <rFont val="Arimo"/>
        <color theme="1"/>
        <sz val="10.0"/>
      </rPr>
      <t>R</t>
    </r>
    <r>
      <rPr>
        <rFont val="Arial Cyr"/>
        <color theme="1"/>
        <sz val="10.0"/>
        <vertAlign val="subscript"/>
      </rPr>
      <t>s</t>
    </r>
    <r>
      <rPr>
        <rFont val="Arial Cyr"/>
        <color theme="1"/>
        <sz val="10.0"/>
      </rPr>
      <t>, кг/см</t>
    </r>
    <r>
      <rPr>
        <rFont val="Arial Cyr"/>
        <color theme="1"/>
        <sz val="10.0"/>
        <vertAlign val="superscript"/>
      </rPr>
      <t>2</t>
    </r>
  </si>
  <si>
    <r>
      <rPr>
        <rFont val="Arimo"/>
        <color theme="1"/>
        <sz val="10.0"/>
      </rPr>
      <t>R</t>
    </r>
    <r>
      <rPr>
        <rFont val="Arial Cyr"/>
        <color theme="1"/>
        <sz val="10.0"/>
        <vertAlign val="subscript"/>
      </rPr>
      <t>sw</t>
    </r>
    <r>
      <rPr>
        <rFont val="Arial Cyr"/>
        <color theme="1"/>
        <sz val="10.0"/>
      </rPr>
      <t>, кг/см</t>
    </r>
    <r>
      <rPr>
        <rFont val="Arial Cyr"/>
        <color theme="1"/>
        <sz val="10.0"/>
        <vertAlign val="superscript"/>
      </rPr>
      <t>2</t>
    </r>
  </si>
  <si>
    <t>A240</t>
  </si>
  <si>
    <t>A300</t>
  </si>
  <si>
    <t>A400</t>
  </si>
  <si>
    <t>B500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</si>
</sst>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"/>
    <numFmt numFmtId="165" formatCode="0.0000"/>
    <numFmt numFmtId="166" formatCode="0.0"/>
  </numFmts>
  <fonts count="11">
    <font>
      <sz val="10.0"/>
      <color rgb="FF000000"/>
      <name val="Arimo"/>
    </font>
    <font>
      <sz val="10.0"/>
      <color theme="1"/>
      <name val="Times New Roman"/>
    </font>
    <font>
      <sz val="7.0"/>
      <color rgb="FF808080"/>
      <name val="Arial"/>
    </font>
    <font/>
    <font>
      <b/>
      <sz val="15.0"/>
      <color theme="1"/>
      <name val="Times New Roman"/>
    </font>
    <font>
      <b/>
      <sz val="13.0"/>
      <color theme="1"/>
      <name val="Times New Roman"/>
    </font>
    <font>
      <b/>
      <u/>
      <sz val="13.0"/>
      <color theme="1"/>
      <name val="Times New Roman"/>
    </font>
    <font>
      <b/>
      <sz val="10.0"/>
      <color theme="1"/>
      <name val="Times New Roman"/>
    </font>
    <font>
      <sz val="10.0"/>
      <color rgb="FFFFFFFF"/>
      <name val="Times New Roman"/>
    </font>
    <font>
      <sz val="10.0"/>
      <color theme="1"/>
      <name val="Arial"/>
    </font>
    <font>
      <sz val="10.0"/>
      <color theme="1"/>
      <name val="Arimo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CC0D9"/>
        <bgColor rgb="FFCCC0D9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00FF00"/>
        <bgColor rgb="FF00FF00"/>
      </patternFill>
    </fill>
    <fill>
      <patternFill patternType="solid">
        <fgColor rgb="FFCCFFFF"/>
        <bgColor rgb="FFCCFFFF"/>
      </patternFill>
    </fill>
  </fills>
  <borders count="38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/>
      <right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2" fontId="2" numFmtId="0" xfId="0" applyAlignment="1" applyBorder="1" applyFont="1">
      <alignment horizontal="center" shrinkToFit="0" vertical="center" wrapText="0"/>
    </xf>
    <xf borderId="3" fillId="0" fontId="3" numFmtId="0" xfId="0" applyBorder="1" applyFont="1"/>
    <xf borderId="4" fillId="0" fontId="3" numFmtId="0" xfId="0" applyBorder="1" applyFont="1"/>
    <xf borderId="5" fillId="2" fontId="2" numFmtId="0" xfId="0" applyAlignment="1" applyBorder="1" applyFont="1">
      <alignment horizontal="center" shrinkToFit="0" textRotation="90" vertical="center" wrapText="0"/>
    </xf>
    <xf borderId="2" fillId="2" fontId="4" numFmtId="0" xfId="0" applyAlignment="1" applyBorder="1" applyFont="1">
      <alignment horizontal="center" shrinkToFit="0" vertical="bottom" wrapText="0"/>
    </xf>
    <xf borderId="5" fillId="2" fontId="2" numFmtId="0" xfId="0" applyAlignment="1" applyBorder="1" applyFont="1">
      <alignment horizontal="center" shrinkToFit="0" textRotation="180" vertical="center" wrapText="0"/>
    </xf>
    <xf borderId="6" fillId="0" fontId="3" numFmtId="0" xfId="0" applyBorder="1" applyFont="1"/>
    <xf borderId="2" fillId="2" fontId="5" numFmtId="0" xfId="0" applyAlignment="1" applyBorder="1" applyFont="1">
      <alignment horizontal="center" shrinkToFit="0" vertical="center" wrapText="0"/>
    </xf>
    <xf borderId="2" fillId="2" fontId="6" numFmtId="0" xfId="0" applyAlignment="1" applyBorder="1" applyFont="1">
      <alignment horizontal="center" shrinkToFit="0" vertical="center" wrapText="0"/>
    </xf>
    <xf borderId="2" fillId="2" fontId="7" numFmtId="0" xfId="0" applyAlignment="1" applyBorder="1" applyFont="1">
      <alignment horizontal="center" shrinkToFit="0" vertical="center" wrapText="0"/>
    </xf>
    <xf borderId="2" fillId="2" fontId="7" numFmtId="0" xfId="0" applyAlignment="1" applyBorder="1" applyFont="1">
      <alignment horizontal="left" shrinkToFit="0" vertical="center" wrapText="0"/>
    </xf>
    <xf borderId="7" fillId="0" fontId="1" numFmtId="0" xfId="0" applyAlignment="1" applyBorder="1" applyFont="1">
      <alignment horizontal="left" shrinkToFit="0" vertical="center" wrapText="0"/>
    </xf>
    <xf borderId="8" fillId="3" fontId="1" numFmtId="0" xfId="0" applyAlignment="1" applyBorder="1" applyFill="1" applyFont="1">
      <alignment horizontal="center" shrinkToFit="0" vertical="center" wrapText="0"/>
    </xf>
    <xf borderId="9" fillId="2" fontId="1" numFmtId="0" xfId="0" applyAlignment="1" applyBorder="1" applyFont="1">
      <alignment horizontal="left" shrinkToFit="0" vertical="center" wrapText="0"/>
    </xf>
    <xf borderId="10" fillId="2" fontId="1" numFmtId="0" xfId="0" applyAlignment="1" applyBorder="1" applyFont="1">
      <alignment horizontal="center" shrinkToFit="0" vertical="center" wrapText="0"/>
    </xf>
    <xf borderId="11" fillId="2" fontId="1" numFmtId="0" xfId="0" applyAlignment="1" applyBorder="1" applyFont="1">
      <alignment horizontal="center" shrinkToFit="0" vertical="center" wrapText="0"/>
    </xf>
    <xf borderId="12" fillId="0" fontId="1" numFmtId="0" xfId="0" applyAlignment="1" applyBorder="1" applyFont="1">
      <alignment horizontal="left" shrinkToFit="0" vertical="center" wrapText="0"/>
    </xf>
    <xf borderId="13" fillId="3" fontId="1" numFmtId="0" xfId="0" applyAlignment="1" applyBorder="1" applyFont="1">
      <alignment horizontal="center" shrinkToFit="0" vertical="center" wrapText="0"/>
    </xf>
    <xf borderId="12" fillId="2" fontId="1" numFmtId="0" xfId="0" applyAlignment="1" applyBorder="1" applyFont="1">
      <alignment horizontal="left" shrinkToFit="0" vertical="center" wrapText="0"/>
    </xf>
    <xf borderId="14" fillId="0" fontId="1" numFmtId="0" xfId="0" applyAlignment="1" applyBorder="1" applyFont="1">
      <alignment horizontal="left" shrinkToFit="0" vertical="center" wrapText="0"/>
    </xf>
    <xf borderId="9" fillId="3" fontId="1" numFmtId="0" xfId="0" applyAlignment="1" applyBorder="1" applyFont="1">
      <alignment horizontal="center" shrinkToFit="0" vertical="center" wrapText="0"/>
    </xf>
    <xf borderId="15" fillId="0" fontId="1" numFmtId="0" xfId="0" applyAlignment="1" applyBorder="1" applyFont="1">
      <alignment horizontal="left" shrinkToFit="0" vertical="center" wrapText="0"/>
    </xf>
    <xf borderId="12" fillId="3" fontId="1" numFmtId="0" xfId="0" applyAlignment="1" applyBorder="1" applyFont="1">
      <alignment horizontal="center" shrinkToFit="0" vertical="center" wrapText="0"/>
    </xf>
    <xf borderId="16" fillId="2" fontId="1" numFmtId="0" xfId="0" applyAlignment="1" applyBorder="1" applyFont="1">
      <alignment horizontal="left" shrinkToFit="0" vertical="center" wrapText="0"/>
    </xf>
    <xf borderId="17" fillId="3" fontId="1" numFmtId="0" xfId="0" applyAlignment="1" applyBorder="1" applyFont="1">
      <alignment horizontal="center" shrinkToFit="0" vertical="center" wrapText="0"/>
    </xf>
    <xf borderId="17" fillId="2" fontId="1" numFmtId="0" xfId="0" applyAlignment="1" applyBorder="1" applyFont="1">
      <alignment horizontal="center" shrinkToFit="0" vertical="center" wrapText="0"/>
    </xf>
    <xf borderId="1" fillId="2" fontId="1" numFmtId="0" xfId="0" applyAlignment="1" applyBorder="1" applyFont="1">
      <alignment horizontal="left" shrinkToFit="0" vertical="center" wrapText="0"/>
    </xf>
    <xf borderId="18" fillId="0" fontId="1" numFmtId="0" xfId="0" applyAlignment="1" applyBorder="1" applyFont="1">
      <alignment horizontal="left" shrinkToFit="0" vertical="center" wrapText="0"/>
    </xf>
    <xf borderId="16" fillId="3" fontId="1" numFmtId="0" xfId="0" applyAlignment="1" applyBorder="1" applyFont="1">
      <alignment horizontal="center" shrinkToFit="0" vertical="center" wrapText="0"/>
    </xf>
    <xf borderId="2" fillId="2" fontId="7" numFmtId="0" xfId="0" applyAlignment="1" applyBorder="1" applyFont="1">
      <alignment horizontal="center" shrinkToFit="0" vertical="bottom" wrapText="1"/>
    </xf>
    <xf borderId="19" fillId="2" fontId="7" numFmtId="0" xfId="0" applyAlignment="1" applyBorder="1" applyFont="1">
      <alignment horizontal="left" shrinkToFit="0" vertical="center" wrapText="0"/>
    </xf>
    <xf borderId="20" fillId="0" fontId="3" numFmtId="0" xfId="0" applyBorder="1" applyFont="1"/>
    <xf borderId="21" fillId="0" fontId="3" numFmtId="0" xfId="0" applyBorder="1" applyFont="1"/>
    <xf borderId="8" fillId="2" fontId="1" numFmtId="164" xfId="0" applyAlignment="1" applyBorder="1" applyFont="1" applyNumberFormat="1">
      <alignment horizontal="center" shrinkToFit="0" vertical="center" wrapText="0"/>
    </xf>
    <xf borderId="22" fillId="2" fontId="1" numFmtId="0" xfId="0" applyAlignment="1" applyBorder="1" applyFont="1">
      <alignment horizontal="left" shrinkToFit="0" vertical="center" wrapText="0"/>
    </xf>
    <xf borderId="13" fillId="2" fontId="1" numFmtId="164" xfId="0" applyAlignment="1" applyBorder="1" applyFont="1" applyNumberFormat="1">
      <alignment horizontal="center" shrinkToFit="0" vertical="center" wrapText="0"/>
    </xf>
    <xf borderId="23" fillId="2" fontId="1" numFmtId="0" xfId="0" applyAlignment="1" applyBorder="1" applyFont="1">
      <alignment horizontal="left" shrinkToFit="0" vertical="center" wrapText="0"/>
    </xf>
    <xf borderId="24" fillId="2" fontId="1" numFmtId="0" xfId="0" applyAlignment="1" applyBorder="1" applyFont="1">
      <alignment horizontal="left" shrinkToFit="0" vertical="center" wrapText="0"/>
    </xf>
    <xf borderId="25" fillId="2" fontId="1" numFmtId="164" xfId="0" applyAlignment="1" applyBorder="1" applyFont="1" applyNumberFormat="1">
      <alignment horizontal="center" shrinkToFit="0" vertical="center" wrapText="0"/>
    </xf>
    <xf borderId="26" fillId="2" fontId="1" numFmtId="0" xfId="0" applyAlignment="1" applyBorder="1" applyFont="1">
      <alignment horizontal="left" shrinkToFit="0" vertical="center" wrapText="0"/>
    </xf>
    <xf borderId="27" fillId="4" fontId="1" numFmtId="0" xfId="0" applyAlignment="1" applyBorder="1" applyFill="1" applyFont="1">
      <alignment horizontal="left" shrinkToFit="0" vertical="center" wrapText="0"/>
    </xf>
    <xf borderId="28" fillId="4" fontId="1" numFmtId="164" xfId="0" applyAlignment="1" applyBorder="1" applyFont="1" applyNumberFormat="1">
      <alignment horizontal="center" shrinkToFit="0" vertical="center" wrapText="0"/>
    </xf>
    <xf borderId="29" fillId="4" fontId="1" numFmtId="0" xfId="0" applyAlignment="1" applyBorder="1" applyFont="1">
      <alignment horizontal="left" shrinkToFit="0" vertical="center" wrapText="0"/>
    </xf>
    <xf borderId="30" fillId="0" fontId="1" numFmtId="0" xfId="0" applyAlignment="1" applyBorder="1" applyFont="1">
      <alignment horizontal="center" shrinkToFit="0" vertical="center" wrapText="0"/>
    </xf>
    <xf borderId="31" fillId="0" fontId="3" numFmtId="0" xfId="0" applyBorder="1" applyFont="1"/>
    <xf borderId="8" fillId="2" fontId="1" numFmtId="165" xfId="0" applyAlignment="1" applyBorder="1" applyFont="1" applyNumberFormat="1">
      <alignment horizontal="center" shrinkToFit="0" vertical="center" wrapText="0"/>
    </xf>
    <xf borderId="1" fillId="2" fontId="8" numFmtId="166" xfId="0" applyAlignment="1" applyBorder="1" applyFont="1" applyNumberFormat="1">
      <alignment horizontal="center" shrinkToFit="0" vertical="center" wrapText="0"/>
    </xf>
    <xf borderId="13" fillId="2" fontId="1" numFmtId="165" xfId="0" applyAlignment="1" applyBorder="1" applyFont="1" applyNumberFormat="1">
      <alignment horizontal="center" shrinkToFit="0" vertical="center" wrapText="0"/>
    </xf>
    <xf borderId="13" fillId="0" fontId="1" numFmtId="0" xfId="0" applyAlignment="1" applyBorder="1" applyFont="1">
      <alignment horizontal="center" shrinkToFit="0" vertical="center" wrapText="0"/>
    </xf>
    <xf borderId="25" fillId="2" fontId="1" numFmtId="165" xfId="0" applyAlignment="1" applyBorder="1" applyFont="1" applyNumberFormat="1">
      <alignment horizontal="center" shrinkToFit="0" vertical="center" wrapText="0"/>
    </xf>
    <xf borderId="16" fillId="0" fontId="1" numFmtId="0" xfId="0" applyAlignment="1" applyBorder="1" applyFont="1">
      <alignment horizontal="left" shrinkToFit="0" vertical="center" wrapText="0"/>
    </xf>
    <xf borderId="17" fillId="2" fontId="1" numFmtId="165" xfId="0" applyAlignment="1" applyBorder="1" applyFont="1" applyNumberFormat="1">
      <alignment horizontal="center" shrinkToFit="0" vertical="center" wrapText="0"/>
    </xf>
    <xf borderId="32" fillId="5" fontId="1" numFmtId="0" xfId="0" applyAlignment="1" applyBorder="1" applyFill="1" applyFont="1">
      <alignment horizontal="left" shrinkToFit="0" vertical="center" wrapText="0"/>
    </xf>
    <xf borderId="33" fillId="5" fontId="1" numFmtId="164" xfId="0" applyAlignment="1" applyBorder="1" applyFont="1" applyNumberFormat="1">
      <alignment horizontal="center" shrinkToFit="0" vertical="center" wrapText="0"/>
    </xf>
    <xf borderId="27" fillId="5" fontId="1" numFmtId="0" xfId="0" applyAlignment="1" applyBorder="1" applyFont="1">
      <alignment horizontal="left" shrinkToFit="0" vertical="center" wrapText="0"/>
    </xf>
    <xf borderId="28" fillId="5" fontId="1" numFmtId="164" xfId="0" applyAlignment="1" applyBorder="1" applyFont="1" applyNumberFormat="1">
      <alignment horizontal="center" shrinkToFit="0" vertical="center" wrapText="0"/>
    </xf>
    <xf borderId="17" fillId="2" fontId="1" numFmtId="164" xfId="0" applyAlignment="1" applyBorder="1" applyFont="1" applyNumberFormat="1">
      <alignment horizontal="center" shrinkToFit="0" vertical="center" wrapText="0"/>
    </xf>
    <xf borderId="27" fillId="6" fontId="1" numFmtId="0" xfId="0" applyAlignment="1" applyBorder="1" applyFill="1" applyFont="1">
      <alignment horizontal="left" shrinkToFit="0" vertical="center" wrapText="0"/>
    </xf>
    <xf borderId="28" fillId="6" fontId="1" numFmtId="164" xfId="0" applyAlignment="1" applyBorder="1" applyFont="1" applyNumberFormat="1">
      <alignment horizontal="center" shrinkToFit="0" vertical="center" wrapText="0"/>
    </xf>
    <xf borderId="29" fillId="6" fontId="1" numFmtId="0" xfId="0" applyAlignment="1" applyBorder="1" applyFont="1">
      <alignment horizontal="left" shrinkToFit="0" vertical="center" wrapText="0"/>
    </xf>
    <xf borderId="34" fillId="7" fontId="1" numFmtId="164" xfId="0" applyAlignment="1" applyBorder="1" applyFill="1" applyFont="1" applyNumberFormat="1">
      <alignment horizontal="right" shrinkToFit="0" vertical="center" wrapText="0"/>
    </xf>
    <xf borderId="35" fillId="7" fontId="1" numFmtId="0" xfId="0" applyAlignment="1" applyBorder="1" applyFont="1">
      <alignment horizontal="left" shrinkToFit="0" vertical="center" wrapText="0"/>
    </xf>
    <xf borderId="1" fillId="2" fontId="1" numFmtId="164" xfId="0" applyAlignment="1" applyBorder="1" applyFont="1" applyNumberFormat="1">
      <alignment horizontal="center" shrinkToFit="0" vertical="center" wrapText="0"/>
    </xf>
    <xf borderId="1" fillId="2" fontId="1" numFmtId="0" xfId="0" applyAlignment="1" applyBorder="1" applyFont="1">
      <alignment horizontal="right" shrinkToFit="0" vertical="center" wrapText="0"/>
    </xf>
    <xf borderId="0" fillId="0" fontId="1" numFmtId="0" xfId="0" applyAlignment="1" applyFont="1">
      <alignment horizontal="left" shrinkToFit="0" vertical="center" wrapText="0"/>
    </xf>
    <xf borderId="27" fillId="8" fontId="1" numFmtId="0" xfId="0" applyAlignment="1" applyBorder="1" applyFill="1" applyFont="1">
      <alignment horizontal="left" shrinkToFit="0" vertical="center" wrapText="0"/>
    </xf>
    <xf borderId="28" fillId="8" fontId="1" numFmtId="164" xfId="0" applyAlignment="1" applyBorder="1" applyFont="1" applyNumberFormat="1">
      <alignment horizontal="center" shrinkToFit="0" vertical="center" wrapText="0"/>
    </xf>
    <xf borderId="29" fillId="8" fontId="1" numFmtId="0" xfId="0" applyAlignment="1" applyBorder="1" applyFont="1">
      <alignment horizontal="left" shrinkToFit="0" vertical="center" wrapText="0"/>
    </xf>
    <xf borderId="13" fillId="2" fontId="1" numFmtId="0" xfId="0" applyAlignment="1" applyBorder="1" applyFont="1">
      <alignment horizontal="center" shrinkToFit="0" vertical="center" wrapText="0"/>
    </xf>
    <xf borderId="29" fillId="5" fontId="1" numFmtId="0" xfId="0" applyAlignment="1" applyBorder="1" applyFont="1">
      <alignment horizontal="left" shrinkToFit="0" vertical="center" wrapText="0"/>
    </xf>
    <xf borderId="12" fillId="2" fontId="9" numFmtId="0" xfId="0" applyAlignment="1" applyBorder="1" applyFont="1">
      <alignment horizontal="left" shrinkToFit="0" vertical="center" wrapText="0"/>
    </xf>
    <xf borderId="17" fillId="0" fontId="1" numFmtId="164" xfId="0" applyAlignment="1" applyBorder="1" applyFont="1" applyNumberFormat="1">
      <alignment horizontal="center" shrinkToFit="0" vertical="center" wrapText="0"/>
    </xf>
    <xf borderId="36" fillId="0" fontId="3" numFmtId="0" xfId="0" applyBorder="1" applyFont="1"/>
    <xf borderId="1" fillId="2" fontId="8" numFmtId="0" xfId="0" applyAlignment="1" applyBorder="1" applyFont="1">
      <alignment horizontal="center" shrinkToFit="0" vertical="center" wrapText="0"/>
    </xf>
    <xf borderId="37" fillId="0" fontId="10" numFmtId="0" xfId="0" applyAlignment="1" applyBorder="1" applyFont="1">
      <alignment shrinkToFit="0" vertical="bottom" wrapText="0"/>
    </xf>
  </cellXfs>
  <cellStyles count="1">
    <cellStyle xfId="0" name="Normal" builtinId="0"/>
  </cellStyles>
  <dxfs count="8">
    <dxf>
      <font>
        <color rgb="FFFFFFFF"/>
      </font>
      <fill>
        <patternFill patternType="none"/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>
        <color rgb="FFCCFFFF"/>
      </font>
      <fill>
        <patternFill patternType="none"/>
      </fill>
      <border/>
    </dxf>
    <dxf>
      <font>
        <color rgb="FFCCFFCC"/>
      </font>
      <fill>
        <patternFill patternType="none"/>
      </fill>
      <border/>
    </dxf>
    <dxf>
      <font>
        <color rgb="FFFFCC99"/>
      </font>
      <fill>
        <patternFill patternType="none"/>
      </fill>
      <border/>
    </dxf>
    <dxf>
      <font>
        <color rgb="FFFF0000"/>
      </font>
      <fill>
        <patternFill patternType="solid">
          <fgColor rgb="FFFF0000"/>
          <bgColor rgb="FFFF0000"/>
        </patternFill>
      </fill>
      <border/>
    </dxf>
    <dxf>
      <font>
        <color rgb="FFFFFF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71"/>
    <col customWidth="1" min="2" max="2" width="8.57"/>
    <col customWidth="1" min="3" max="4" width="10.71"/>
    <col customWidth="1" min="5" max="5" width="5.86"/>
    <col customWidth="1" min="6" max="11" width="10.71"/>
    <col customWidth="1" min="12" max="12" width="8.57"/>
    <col customWidth="1" min="13" max="13" width="1.71"/>
    <col customWidth="1" min="14" max="19" width="10.71"/>
    <col customWidth="1" min="20" max="26" width="8.0"/>
  </cols>
  <sheetData>
    <row r="1" ht="8.2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0" customHeight="1">
      <c r="A2" s="5"/>
      <c r="B2" s="6" t="s">
        <v>0</v>
      </c>
      <c r="C2" s="3"/>
      <c r="D2" s="3"/>
      <c r="E2" s="3"/>
      <c r="F2" s="3"/>
      <c r="G2" s="3"/>
      <c r="H2" s="3"/>
      <c r="I2" s="3"/>
      <c r="J2" s="3"/>
      <c r="K2" s="3"/>
      <c r="L2" s="4"/>
      <c r="M2" s="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7.25" customHeight="1">
      <c r="A3" s="8"/>
      <c r="B3" s="9" t="s">
        <v>1</v>
      </c>
      <c r="C3" s="3"/>
      <c r="D3" s="3"/>
      <c r="E3" s="3"/>
      <c r="F3" s="3"/>
      <c r="G3" s="3"/>
      <c r="H3" s="3"/>
      <c r="I3" s="3"/>
      <c r="J3" s="3"/>
      <c r="K3" s="3"/>
      <c r="L3" s="4"/>
      <c r="M3" s="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9.5" customHeight="1">
      <c r="A4" s="8"/>
      <c r="B4" s="10" t="str">
        <f>IF(AND(J8-K8=0),"НЕТ ПРОДАВЛИВАЮЩЕЙ НАГРУЗКИ",IF(K8=0,"Фундаментная плита",IF(J8=0,"Плита покрытия","Плита перекрытия")))</f>
        <v>Плита перекрытия</v>
      </c>
      <c r="C4" s="3"/>
      <c r="D4" s="3"/>
      <c r="E4" s="3"/>
      <c r="F4" s="3"/>
      <c r="G4" s="3"/>
      <c r="H4" s="3"/>
      <c r="I4" s="3"/>
      <c r="J4" s="3"/>
      <c r="K4" s="3"/>
      <c r="L4" s="4"/>
      <c r="M4" s="8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.0" customHeight="1">
      <c r="A5" s="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8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7.25" customHeight="1">
      <c r="A6" s="8"/>
      <c r="B6" s="1"/>
      <c r="C6" s="11" t="s">
        <v>2</v>
      </c>
      <c r="D6" s="4"/>
      <c r="E6" s="1"/>
      <c r="F6" s="11" t="s">
        <v>3</v>
      </c>
      <c r="G6" s="4"/>
      <c r="H6" s="1"/>
      <c r="I6" s="12" t="s">
        <v>4</v>
      </c>
      <c r="J6" s="3"/>
      <c r="K6" s="4"/>
      <c r="L6" s="1"/>
      <c r="M6" s="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7.25" customHeight="1">
      <c r="A7" s="8"/>
      <c r="B7" s="1"/>
      <c r="C7" s="13" t="s">
        <v>5</v>
      </c>
      <c r="D7" s="14">
        <v>250.0</v>
      </c>
      <c r="E7" s="1"/>
      <c r="F7" s="15" t="s">
        <v>6</v>
      </c>
      <c r="G7" s="14">
        <v>200.0</v>
      </c>
      <c r="H7" s="1"/>
      <c r="I7" s="1"/>
      <c r="J7" s="16" t="s">
        <v>7</v>
      </c>
      <c r="K7" s="17" t="s">
        <v>8</v>
      </c>
      <c r="L7" s="1"/>
      <c r="M7" s="8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7.25" customHeight="1">
      <c r="A8" s="8"/>
      <c r="B8" s="1"/>
      <c r="C8" s="18" t="s">
        <v>9</v>
      </c>
      <c r="D8" s="19">
        <v>1200.0</v>
      </c>
      <c r="E8" s="1"/>
      <c r="F8" s="20" t="s">
        <v>10</v>
      </c>
      <c r="G8" s="19">
        <v>45.0</v>
      </c>
      <c r="H8" s="1"/>
      <c r="I8" s="21" t="s">
        <v>11</v>
      </c>
      <c r="J8" s="22">
        <v>546.0</v>
      </c>
      <c r="K8" s="14">
        <v>620.0</v>
      </c>
      <c r="L8" s="1"/>
      <c r="M8" s="8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7.25" customHeight="1">
      <c r="A9" s="8"/>
      <c r="B9" s="1"/>
      <c r="C9" s="20" t="s">
        <v>12</v>
      </c>
      <c r="D9" s="19"/>
      <c r="E9" s="1"/>
      <c r="F9" s="20" t="s">
        <v>13</v>
      </c>
      <c r="G9" s="19">
        <v>35.0</v>
      </c>
      <c r="H9" s="1"/>
      <c r="I9" s="23" t="s">
        <v>14</v>
      </c>
      <c r="J9" s="24">
        <v>3.29</v>
      </c>
      <c r="K9" s="19">
        <v>3.39</v>
      </c>
      <c r="L9" s="1"/>
      <c r="M9" s="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7.25" customHeight="1">
      <c r="A10" s="8"/>
      <c r="B10" s="1"/>
      <c r="C10" s="25" t="s">
        <v>15</v>
      </c>
      <c r="D10" s="26"/>
      <c r="E10" s="1"/>
      <c r="F10" s="25" t="s">
        <v>16</v>
      </c>
      <c r="G10" s="27">
        <f>G7-(G8+G9)/2</f>
        <v>160</v>
      </c>
      <c r="H10" s="1"/>
      <c r="I10" s="23" t="s">
        <v>17</v>
      </c>
      <c r="J10" s="24">
        <v>2.4</v>
      </c>
      <c r="K10" s="19">
        <v>12.2</v>
      </c>
      <c r="L10" s="1"/>
      <c r="M10" s="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7.25" customHeight="1">
      <c r="A11" s="8"/>
      <c r="B11" s="1"/>
      <c r="C11" s="28"/>
      <c r="D11" s="1"/>
      <c r="E11" s="1"/>
      <c r="F11" s="28"/>
      <c r="G11" s="1"/>
      <c r="H11" s="1"/>
      <c r="I11" s="29" t="s">
        <v>18</v>
      </c>
      <c r="J11" s="30"/>
      <c r="K11" s="26">
        <v>0.0</v>
      </c>
      <c r="L11" s="1"/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6.25" customHeight="1">
      <c r="A12" s="8"/>
      <c r="B12" s="1"/>
      <c r="C12" s="31" t="s">
        <v>19</v>
      </c>
      <c r="D12" s="4"/>
      <c r="E12" s="1"/>
      <c r="F12" s="32" t="s">
        <v>20</v>
      </c>
      <c r="G12" s="33"/>
      <c r="H12" s="33"/>
      <c r="I12" s="33"/>
      <c r="J12" s="33"/>
      <c r="K12" s="34"/>
      <c r="L12" s="1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7.25" customHeight="1">
      <c r="A13" s="8"/>
      <c r="B13" s="1"/>
      <c r="C13" s="11" t="str">
        <f>IF(AND(D9="",D10=""),"внутри площади плиты",IF(AND(D9&lt;&gt;"",D10&lt;&gt;""),"на углу плиты","у края плиты"))</f>
        <v>внутри площади плиты</v>
      </c>
      <c r="D13" s="4"/>
      <c r="E13" s="1"/>
      <c r="F13" s="15" t="s">
        <v>21</v>
      </c>
      <c r="G13" s="35">
        <f>J8</f>
        <v>546</v>
      </c>
      <c r="H13" s="15" t="s">
        <v>22</v>
      </c>
      <c r="I13" s="35">
        <f>J9+K9</f>
        <v>6.68</v>
      </c>
      <c r="J13" s="36" t="s">
        <v>23</v>
      </c>
      <c r="K13" s="35">
        <f>J10+K10</f>
        <v>14.6</v>
      </c>
      <c r="L13" s="1"/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7.25" customHeight="1">
      <c r="A14" s="8"/>
      <c r="B14" s="1"/>
      <c r="C14" s="15" t="s">
        <v>24</v>
      </c>
      <c r="D14" s="35">
        <f>IF(D9="",D7+G10,D7+G10/2+D9)/1000</f>
        <v>0.41</v>
      </c>
      <c r="E14" s="1"/>
      <c r="F14" s="20" t="s">
        <v>25</v>
      </c>
      <c r="G14" s="37">
        <f>K8</f>
        <v>620</v>
      </c>
      <c r="H14" s="20" t="s">
        <v>26</v>
      </c>
      <c r="I14" s="37">
        <f>G16*D25</f>
        <v>0</v>
      </c>
      <c r="J14" s="38" t="s">
        <v>27</v>
      </c>
      <c r="K14" s="37">
        <f>G16*D26</f>
        <v>0</v>
      </c>
      <c r="L14" s="1"/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7.25" customHeight="1">
      <c r="A15" s="8"/>
      <c r="B15" s="1"/>
      <c r="C15" s="20" t="s">
        <v>28</v>
      </c>
      <c r="D15" s="37">
        <f>IF(D10="",D8+G10,D8+G10/2+D10)/1000</f>
        <v>1.36</v>
      </c>
      <c r="E15" s="1"/>
      <c r="F15" s="20" t="s">
        <v>29</v>
      </c>
      <c r="G15" s="37">
        <f>IF(G14-G13=0,0,2.5*1.1*D23*G10/1000)</f>
        <v>0.245344</v>
      </c>
      <c r="H15" s="20" t="s">
        <v>30</v>
      </c>
      <c r="I15" s="37">
        <f>(I13+I14)/2</f>
        <v>3.34</v>
      </c>
      <c r="J15" s="38" t="s">
        <v>31</v>
      </c>
      <c r="K15" s="37">
        <f>(K13+K14)/2</f>
        <v>7.3</v>
      </c>
      <c r="L15" s="1"/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7.25" customHeight="1">
      <c r="A16" s="8"/>
      <c r="B16" s="1"/>
      <c r="C16" s="20" t="s">
        <v>32</v>
      </c>
      <c r="D16" s="37">
        <f>IF(D10="",D14*2,D14)+IF(D9="",D15*2,D15)</f>
        <v>3.54</v>
      </c>
      <c r="E16" s="1"/>
      <c r="F16" s="39" t="s">
        <v>33</v>
      </c>
      <c r="G16" s="40">
        <f>IF(G14&gt;G13+G15,J11,K11)*D24*IF(G14-G13=0,0,1)</f>
        <v>0</v>
      </c>
      <c r="H16" s="39" t="s">
        <v>34</v>
      </c>
      <c r="I16" s="40">
        <f>-ABS(G14-G13)*D21</f>
        <v>0</v>
      </c>
      <c r="J16" s="41" t="s">
        <v>35</v>
      </c>
      <c r="K16" s="40">
        <f>-ABS(G14-G13)*D22</f>
        <v>0</v>
      </c>
      <c r="L16" s="1"/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7.25" customHeight="1">
      <c r="A17" s="8"/>
      <c r="B17" s="1"/>
      <c r="C17" s="20" t="s">
        <v>36</v>
      </c>
      <c r="D17" s="37">
        <f>(D15*D14+D14^2/2*IF(D10="",2,1))/(D14*IF(D10="",2,1)+D15*IF(D9="",2,1))</f>
        <v>0.205</v>
      </c>
      <c r="E17" s="1"/>
      <c r="F17" s="42" t="s">
        <v>37</v>
      </c>
      <c r="G17" s="43">
        <f>ABS(G14-G13-G15)-G16</f>
        <v>73.754656</v>
      </c>
      <c r="H17" s="42" t="s">
        <v>38</v>
      </c>
      <c r="I17" s="43">
        <f>I15+I16</f>
        <v>3.34</v>
      </c>
      <c r="J17" s="44" t="s">
        <v>39</v>
      </c>
      <c r="K17" s="43">
        <f>K15+K16</f>
        <v>7.3</v>
      </c>
      <c r="L17" s="1"/>
      <c r="M17" s="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7.25" customHeight="1">
      <c r="A18" s="8"/>
      <c r="B18" s="1"/>
      <c r="C18" s="20" t="s">
        <v>40</v>
      </c>
      <c r="D18" s="37">
        <f>(D15*D14+D15^2/2*IF(D9="",2,1))/(D14*IF(D10="",2,1)+D15*IF(D9="",2,1))</f>
        <v>0.68</v>
      </c>
      <c r="E18" s="1"/>
      <c r="F18" s="1"/>
      <c r="G18" s="1"/>
      <c r="H18" s="1"/>
      <c r="I18" s="1"/>
      <c r="J18" s="1"/>
      <c r="K18" s="1"/>
      <c r="L18" s="1"/>
      <c r="M18" s="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7.25" customHeight="1">
      <c r="A19" s="8"/>
      <c r="B19" s="1"/>
      <c r="C19" s="20" t="s">
        <v>41</v>
      </c>
      <c r="D19" s="37">
        <f>(D14-(D7+G10)/2000)</f>
        <v>0.205</v>
      </c>
      <c r="E19" s="1"/>
      <c r="F19" s="32" t="s">
        <v>42</v>
      </c>
      <c r="G19" s="33"/>
      <c r="H19" s="33"/>
      <c r="I19" s="33"/>
      <c r="J19" s="33"/>
      <c r="K19" s="34"/>
      <c r="L19" s="1"/>
      <c r="M19" s="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8"/>
      <c r="B20" s="1"/>
      <c r="C20" s="20" t="s">
        <v>43</v>
      </c>
      <c r="D20" s="37">
        <f>(D15-(D8+G10)/2000)</f>
        <v>0.68</v>
      </c>
      <c r="E20" s="1"/>
      <c r="F20" s="45" t="s">
        <v>44</v>
      </c>
      <c r="G20" s="46"/>
      <c r="H20" s="36" t="s">
        <v>45</v>
      </c>
      <c r="I20" s="47">
        <f>(D14^3/12+D14*(D17-D14/2)^2)*IF(D10="",2,1)</f>
        <v>0.01148683333</v>
      </c>
      <c r="J20" s="36" t="s">
        <v>46</v>
      </c>
      <c r="K20" s="47">
        <f>(D15^3/12+D15*(D18-D15/2)^2)*IF(D9="",2,1)</f>
        <v>0.4192426667</v>
      </c>
      <c r="L20" s="48">
        <v>1.0</v>
      </c>
      <c r="M20" s="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8"/>
      <c r="B21" s="1"/>
      <c r="C21" s="18" t="s">
        <v>47</v>
      </c>
      <c r="D21" s="37">
        <f t="shared" ref="D21:D22" si="1">D17-D19</f>
        <v>0</v>
      </c>
      <c r="E21" s="1"/>
      <c r="F21" s="18" t="s">
        <v>48</v>
      </c>
      <c r="G21" s="19" t="s">
        <v>49</v>
      </c>
      <c r="H21" s="38" t="s">
        <v>50</v>
      </c>
      <c r="I21" s="49">
        <f>IF(D9="",D15*D14^2/2,D15*(D14-D17)^2)</f>
        <v>0.114308</v>
      </c>
      <c r="J21" s="38" t="s">
        <v>51</v>
      </c>
      <c r="K21" s="49">
        <f>IF(D10="",D14*D15^2/2,D14*(D15-D18)^2)</f>
        <v>0.379168</v>
      </c>
      <c r="L21" s="48">
        <v>0.9</v>
      </c>
      <c r="M21" s="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7.25" customHeight="1">
      <c r="A22" s="8"/>
      <c r="B22" s="1"/>
      <c r="C22" s="18" t="s">
        <v>52</v>
      </c>
      <c r="D22" s="37">
        <f t="shared" si="1"/>
        <v>0</v>
      </c>
      <c r="E22" s="1"/>
      <c r="F22" s="18" t="s">
        <v>53</v>
      </c>
      <c r="G22" s="50">
        <f>VLOOKUP(G21,'Характеристики материалов'!A3:C13,3)*10</f>
        <v>117</v>
      </c>
      <c r="H22" s="38" t="s">
        <v>54</v>
      </c>
      <c r="I22" s="49">
        <f>I20+I21</f>
        <v>0.1257948333</v>
      </c>
      <c r="J22" s="38" t="s">
        <v>55</v>
      </c>
      <c r="K22" s="49">
        <f>K20+K21</f>
        <v>0.7984106667</v>
      </c>
      <c r="L22" s="1"/>
      <c r="M22" s="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7.25" customHeight="1">
      <c r="A23" s="8"/>
      <c r="B23" s="1"/>
      <c r="C23" s="18" t="s">
        <v>56</v>
      </c>
      <c r="D23" s="37">
        <f>(D7+G10/2+IF(D9="",G10/2,D9))*(D8+G10/2+IF(D10="",G10/2,D10))/1000000</f>
        <v>0.5576</v>
      </c>
      <c r="E23" s="1"/>
      <c r="F23" s="18" t="s">
        <v>57</v>
      </c>
      <c r="G23" s="19">
        <v>0.9</v>
      </c>
      <c r="H23" s="41" t="s">
        <v>58</v>
      </c>
      <c r="I23" s="51">
        <f>I22/D17</f>
        <v>0.6136333333</v>
      </c>
      <c r="J23" s="39" t="s">
        <v>59</v>
      </c>
      <c r="K23" s="51">
        <f>K22/D18</f>
        <v>1.174133333</v>
      </c>
      <c r="L23" s="1"/>
      <c r="M23" s="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7.25" customHeight="1">
      <c r="A24" s="8"/>
      <c r="B24" s="1"/>
      <c r="C24" s="18" t="s">
        <v>60</v>
      </c>
      <c r="D24" s="37">
        <f>(IF(D9="",D7+G10*2,D7+G10+D9)/1000)*(IF(D10="",D8+G10*2,D8+G10+D10)/1000)-D7*D8/1000000*IF(J8*K8=0,0,1)</f>
        <v>0.5664</v>
      </c>
      <c r="E24" s="1"/>
      <c r="F24" s="52" t="s">
        <v>61</v>
      </c>
      <c r="G24" s="26">
        <v>1.0</v>
      </c>
      <c r="H24" s="41" t="s">
        <v>62</v>
      </c>
      <c r="I24" s="53">
        <f>I22/(D14-D17)</f>
        <v>0.6136333333</v>
      </c>
      <c r="J24" s="39" t="s">
        <v>63</v>
      </c>
      <c r="K24" s="53">
        <f>K22/(D15-D18)</f>
        <v>1.174133333</v>
      </c>
      <c r="L24" s="1"/>
      <c r="M24" s="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7.25" customHeight="1">
      <c r="A25" s="8"/>
      <c r="B25" s="1"/>
      <c r="C25" s="20" t="s">
        <v>64</v>
      </c>
      <c r="D25" s="37">
        <f>((IF(D9="",D7+G10*2,D7+G10+D9)/1000)^2*(IF(D10="",D8+G10*2,D8+G10+D10)/1000)/2-D7*D8*(D7/2+G10)/1000^3*IF(J8*K8=0,0,1))/((IF(D9="",D7+G10*2,D7+G10+D9)/1000)*(IF(D10="",D8+G10*2,D8+G10+D10)/1000)-D7*D8/1000^2*IF(J8*K8=0,0,1))-(D14-D17+G10/2000)</f>
        <v>0</v>
      </c>
      <c r="E25" s="1"/>
      <c r="F25" s="54" t="s">
        <v>65</v>
      </c>
      <c r="G25" s="55">
        <f>G22*G23*G24*D16*G10/1000</f>
        <v>59.64192</v>
      </c>
      <c r="H25" s="56" t="s">
        <v>66</v>
      </c>
      <c r="I25" s="57">
        <f>G22*G23*G24*IF(I17&gt;=0,I24,I23)*G10/1000</f>
        <v>10.3384944</v>
      </c>
      <c r="J25" s="56" t="s">
        <v>67</v>
      </c>
      <c r="K25" s="57">
        <f>G22*G23*G24*IF(K17&gt;=0,K24,K23)*G10/1000</f>
        <v>19.7817984</v>
      </c>
      <c r="L25" s="1"/>
      <c r="M25" s="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8"/>
      <c r="B26" s="1"/>
      <c r="C26" s="25" t="s">
        <v>68</v>
      </c>
      <c r="D26" s="58">
        <f>((IF(D10="",D8+G10*2,D8+G10+D10)/1000)^2*(IF(D9="",D7+G10*2,D7+G10+D9)/1000)/2-D7*D8*(D8/2+G10)/1000^3*IF(J8*K8=0,0,1))/((IF(D10="",D8+G10*2,D8+G10+D10)/1000)*(IF(D9="",D7+G10*2,D7+G10+D9)/1000)-D7*D8/1000^2*IF(J8*K8=0,0,1))-(D15-D18+G10/2000)</f>
        <v>0</v>
      </c>
      <c r="E26" s="1"/>
      <c r="F26" s="59" t="s">
        <v>69</v>
      </c>
      <c r="G26" s="60">
        <f>ABS(G17)/G25</f>
        <v>1.236624441</v>
      </c>
      <c r="H26" s="59" t="s">
        <v>70</v>
      </c>
      <c r="I26" s="60">
        <f>ABS(I17)/I25</f>
        <v>0.3230644493</v>
      </c>
      <c r="J26" s="61" t="s">
        <v>71</v>
      </c>
      <c r="K26" s="60">
        <f>ABS(K17)/K25</f>
        <v>0.3690261043</v>
      </c>
      <c r="L26" s="1"/>
      <c r="M26" s="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4.5" customHeight="1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8"/>
      <c r="B28" s="1"/>
      <c r="C28" s="1"/>
      <c r="D28" s="1"/>
      <c r="E28" s="1"/>
      <c r="F28" s="62">
        <f>G26+IF((G26/2)&lt;=(I26+K26),(G26/2),(I26+K26))</f>
        <v>1.854936662</v>
      </c>
      <c r="G28" s="63" t="str">
        <f>IF(F28&lt;1,"&lt; 1",IF(F28&gt;1,"&gt; 1","= 1"))</f>
        <v>&gt; 1</v>
      </c>
      <c r="H28" s="28" t="str">
        <f>IF(F28&gt;1,"  Условие прочности не выполнено.","  Условие прочности выполнено. Прочность обеспечена.")</f>
        <v>  Условие прочности не выполнено.</v>
      </c>
      <c r="I28" s="1"/>
      <c r="J28" s="1"/>
      <c r="K28" s="1"/>
      <c r="L28" s="1"/>
      <c r="M28" s="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7.25" customHeight="1">
      <c r="A29" s="8"/>
      <c r="B29" s="1"/>
      <c r="C29" s="1"/>
      <c r="D29" s="1"/>
      <c r="E29" s="1"/>
      <c r="F29" s="28" t="str">
        <f>IF(F28&lt;=1,"В установке поперечной арматуры нет необходимости.",IF(ABS(G17)/(2*G25)+MIN(ABS(G17)/(2*G25),ABS(I17)/(2*I25)+MIN(ABS(G17)/(2*G25),ABS(K17)/(2*K25)))&gt;1,"Бетонное сечение мало! Необходимо увеличить толщину плиты или класс бетона!","Сечение плиты достаточно. Необходимо установить поперечную арматуру:"))</f>
        <v>Сечение плиты достаточно. Необходимо установить поперечную арматуру:</v>
      </c>
      <c r="G29" s="1"/>
      <c r="H29" s="1"/>
      <c r="I29" s="1"/>
      <c r="J29" s="1"/>
      <c r="K29" s="64"/>
      <c r="L29" s="1"/>
      <c r="M29" s="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8"/>
      <c r="B30" s="1"/>
      <c r="C30" s="1"/>
      <c r="D30" s="1"/>
      <c r="E30" s="1"/>
      <c r="F30" s="65" t="s">
        <v>72</v>
      </c>
      <c r="G30" s="66" t="str">
        <f>CONCATENATE(TEXT(IF(F28&gt;1,(F28-1)*G22*G23*G24*G10/800,0),"0,000")," т/м")</f>
        <v>0 018 т/м</v>
      </c>
      <c r="H30" s="1"/>
      <c r="I30" s="1"/>
      <c r="J30" s="1"/>
      <c r="K30" s="1"/>
      <c r="L30" s="64"/>
      <c r="M30" s="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7.25" customHeight="1">
      <c r="A31" s="8"/>
      <c r="B31" s="1"/>
      <c r="C31" s="11" t="s">
        <v>73</v>
      </c>
      <c r="D31" s="4"/>
      <c r="E31" s="1"/>
      <c r="F31" s="32" t="s">
        <v>74</v>
      </c>
      <c r="G31" s="33"/>
      <c r="H31" s="33"/>
      <c r="I31" s="33"/>
      <c r="J31" s="33"/>
      <c r="K31" s="34"/>
      <c r="L31" s="1"/>
      <c r="M31" s="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7.25" customHeight="1">
      <c r="A32" s="8"/>
      <c r="B32" s="1"/>
      <c r="C32" s="15" t="s">
        <v>48</v>
      </c>
      <c r="D32" s="14" t="s">
        <v>75</v>
      </c>
      <c r="E32" s="1"/>
      <c r="F32" s="67" t="s">
        <v>76</v>
      </c>
      <c r="G32" s="68">
        <f>0.8*D38*D16</f>
        <v>90.74930203</v>
      </c>
      <c r="H32" s="69" t="s">
        <v>77</v>
      </c>
      <c r="I32" s="68">
        <f>0.8*D38*IF(I17&gt;=0,I24,I23)</f>
        <v>15.73073353</v>
      </c>
      <c r="J32" s="69" t="s">
        <v>78</v>
      </c>
      <c r="K32" s="68">
        <f>0.8*D38*IF(K17&gt;=0,K24,K23)</f>
        <v>30.09937302</v>
      </c>
      <c r="L32" s="1"/>
      <c r="M32" s="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7.25" customHeight="1">
      <c r="A33" s="8"/>
      <c r="B33" s="1"/>
      <c r="C33" s="20" t="s">
        <v>79</v>
      </c>
      <c r="D33" s="70">
        <f>VLOOKUP(D32,'Характеристики материалов'!A16:C20,3)*10</f>
        <v>30600</v>
      </c>
      <c r="E33" s="1"/>
      <c r="F33" s="56" t="s">
        <v>80</v>
      </c>
      <c r="G33" s="57">
        <f>MIN(G25+G32,2*G25)</f>
        <v>119.28384</v>
      </c>
      <c r="H33" s="71" t="s">
        <v>81</v>
      </c>
      <c r="I33" s="57">
        <f>MIN(I25+I32,2*I25)</f>
        <v>20.6769888</v>
      </c>
      <c r="J33" s="56" t="s">
        <v>82</v>
      </c>
      <c r="K33" s="57">
        <f>MIN(K25+K32,2*K25)</f>
        <v>39.5635968</v>
      </c>
      <c r="L33" s="1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7.25" customHeight="1">
      <c r="A34" s="8"/>
      <c r="B34" s="1"/>
      <c r="C34" s="72" t="s">
        <v>83</v>
      </c>
      <c r="D34" s="19">
        <v>10.0</v>
      </c>
      <c r="E34" s="1"/>
      <c r="F34" s="59" t="s">
        <v>84</v>
      </c>
      <c r="G34" s="60">
        <f>ABS(G17)/G33</f>
        <v>0.6183122207</v>
      </c>
      <c r="H34" s="61" t="s">
        <v>85</v>
      </c>
      <c r="I34" s="60">
        <f>ABS(I17)/I33</f>
        <v>0.1615322247</v>
      </c>
      <c r="J34" s="59" t="s">
        <v>86</v>
      </c>
      <c r="K34" s="60">
        <f>ABS(K17)/K33</f>
        <v>0.1845130522</v>
      </c>
      <c r="L34" s="1"/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7.25" customHeight="1">
      <c r="A35" s="8"/>
      <c r="B35" s="1"/>
      <c r="C35" s="20" t="s">
        <v>87</v>
      </c>
      <c r="D35" s="19">
        <v>2.0</v>
      </c>
      <c r="E35" s="1"/>
      <c r="F35" s="1"/>
      <c r="G35" s="1"/>
      <c r="H35" s="1"/>
      <c r="I35" s="1"/>
      <c r="J35" s="1"/>
      <c r="K35" s="1"/>
      <c r="L35" s="1"/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7.25" customHeight="1">
      <c r="A36" s="8"/>
      <c r="B36" s="1"/>
      <c r="C36" s="20" t="s">
        <v>88</v>
      </c>
      <c r="D36" s="37">
        <f>IF(AND($D$32="B500",$D$34&gt;12),"ОШИБКА",IF(AND(OR($D$32="A500",$D$32="A300"),$D$34&lt;10),"ОШИБКА",IF(AND(OR($D$32="A400",$D$32="A240"),$D$34&lt;6),"ОШИБКА",(PI()*(D34/10)^2/4*D35))))</f>
        <v>1.570796327</v>
      </c>
      <c r="E36" s="1"/>
      <c r="F36" s="62">
        <f>G34+MIN(G34/2,I34+K34)</f>
        <v>0.927468331</v>
      </c>
      <c r="G36" s="63" t="str">
        <f>IF(F36&lt;1,"&lt; 1",IF(F36&gt;1,"&gt; 1","= 1"))</f>
        <v>&lt; 1</v>
      </c>
      <c r="H36" s="28" t="str">
        <f>IF(F36&gt;1,"  Условие прочности не выполнено.","  Условие прочности выполнено. Прочность обеспечена.")</f>
        <v>  Условие прочности выполнено. Прочность обеспечена.</v>
      </c>
      <c r="I36" s="1"/>
      <c r="J36" s="1"/>
      <c r="K36" s="1"/>
      <c r="L36" s="1"/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7.25" customHeight="1">
      <c r="A37" s="8"/>
      <c r="B37" s="1"/>
      <c r="C37" s="20" t="s">
        <v>89</v>
      </c>
      <c r="D37" s="19">
        <v>150.0</v>
      </c>
      <c r="E37" s="1"/>
      <c r="F37" s="28" t="str">
        <f>IF(D33*D36/D37/10&gt;G22*G23*G24*G10/800,"Арматура установлена с избытком. Часть 'лишней' арматуры в расчете не учтена",IF(AND(D33*D36/D37/10&lt;0.25*G22*G23*G24*G10/800,D33*D36/D37/10&gt;0),"Арматура в расчете не учитывается – необходимо увеличить армирование!",""))</f>
        <v>Арматура установлена с избытком. Часть 'лишней' арматуры в расчете не учтена</v>
      </c>
      <c r="G37" s="1"/>
      <c r="H37" s="1"/>
      <c r="I37" s="1"/>
      <c r="J37" s="1"/>
      <c r="K37" s="1"/>
      <c r="L37" s="1"/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7.25" customHeight="1">
      <c r="A38" s="8"/>
      <c r="B38" s="1"/>
      <c r="C38" s="25" t="s">
        <v>90</v>
      </c>
      <c r="D38" s="73">
        <f>IF(D33*D36/D37/10&gt;0.25*G22*G23*G24*G10/800,D33*D36/D37/10,0)</f>
        <v>32.04424507</v>
      </c>
      <c r="E38" s="1"/>
      <c r="F38" s="28" t="str">
        <f>IF(AND(G7&lt;180,G7&gt;0,D38&gt;0),"Т.к. толщина плиты менее 180мм, поперечная арматура не учитывается","")</f>
        <v/>
      </c>
      <c r="G38" s="1"/>
      <c r="H38" s="1"/>
      <c r="I38" s="1"/>
      <c r="J38" s="1"/>
      <c r="K38" s="1"/>
      <c r="L38" s="1"/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7.25" customHeight="1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7.25" customHeight="1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7.25" customHeight="1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7.25" customHeight="1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7.25" customHeight="1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7.25" customHeight="1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7.25" customHeight="1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7.25" customHeight="1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7.25" customHeight="1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7.25" customHeight="1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7.25" customHeight="1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7.25" customHeight="1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7.25" customHeight="1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7.25" customHeight="1">
      <c r="A53" s="74"/>
      <c r="B53" s="1"/>
      <c r="C53" s="75"/>
      <c r="D53" s="1"/>
      <c r="E53" s="1"/>
      <c r="F53" s="1"/>
      <c r="G53" s="1"/>
      <c r="H53" s="1"/>
      <c r="I53" s="1"/>
      <c r="J53" s="1"/>
      <c r="K53" s="1"/>
      <c r="L53" s="1"/>
      <c r="M53" s="74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8.25" customHeight="1">
      <c r="A54" s="1"/>
      <c r="B54" s="2"/>
      <c r="C54" s="3"/>
      <c r="D54" s="3"/>
      <c r="E54" s="3"/>
      <c r="F54" s="3"/>
      <c r="G54" s="3"/>
      <c r="H54" s="3"/>
      <c r="I54" s="3"/>
      <c r="J54" s="3"/>
      <c r="K54" s="3"/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7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7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7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7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7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7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7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7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7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7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7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7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7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7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7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7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7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7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7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7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7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7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7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7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7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7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7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7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7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7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7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7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7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7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7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7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7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7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7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7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7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7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7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7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7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7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7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7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7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7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7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7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7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7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7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7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7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7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7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7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7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7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7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7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7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7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7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7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7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7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7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7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7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7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7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7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7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7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7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7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7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7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7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7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7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7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7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7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7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7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7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7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7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7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7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7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7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7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7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7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7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7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7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7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7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7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7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7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7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7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7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7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7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7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7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7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7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7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7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7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7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7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7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7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7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7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7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7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7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7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7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7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7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7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7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7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7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7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7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7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7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7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7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7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7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7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7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7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7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7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7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7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7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7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7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7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7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7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7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7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7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7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7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7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7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7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7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7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7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7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7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7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7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7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7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7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7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7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7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7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7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7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7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7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7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7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7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7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7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7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7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7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7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7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7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7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7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7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7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7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7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7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7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7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7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7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7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7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7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7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7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7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7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7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7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7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7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7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7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7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7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7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7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7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7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7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7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7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7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7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7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7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7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7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7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7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7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7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7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7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7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7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7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7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7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7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7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7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7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7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7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7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7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7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7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7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7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7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7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7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7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7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7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7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7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7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7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7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7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7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7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7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7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7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7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7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7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7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7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7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7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7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7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7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7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7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7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7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7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7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7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7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7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7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7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7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7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7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7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7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7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7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7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7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7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7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7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7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7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7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7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7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7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7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7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7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7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7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7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7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7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7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7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7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7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7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7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7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7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7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7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7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7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7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7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7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7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7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7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7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7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7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7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7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7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7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7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7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7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7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7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7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7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7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7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7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7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7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7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7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7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7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7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7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7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7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7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7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7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7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7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7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7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7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7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7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7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7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7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7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7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7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7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7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7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7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7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7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7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7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7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7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7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7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7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7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7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7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7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7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7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7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7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7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7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7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7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7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7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7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7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7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7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7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7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7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7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7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7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7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7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7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7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7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7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7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7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7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7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7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7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7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7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7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7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7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7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7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7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7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7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7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7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7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7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7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7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7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7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7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7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7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7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7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7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7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7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7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7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7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7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7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7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7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7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7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7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7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7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7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7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7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7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7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7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7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7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7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7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7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7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7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7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7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7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7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7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7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7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7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7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7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7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7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7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7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7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7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7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7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7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7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7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7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7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7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7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7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7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7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7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7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7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7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7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7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7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7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7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7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7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7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7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7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7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7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7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7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7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7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7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7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7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7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7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7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7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7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7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7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7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7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7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7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7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7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7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7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7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7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7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7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7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7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7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7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7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7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7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7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7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7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7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7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7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7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7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7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7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7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7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7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7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7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7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7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7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7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7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7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7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7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7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7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7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7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7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7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7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7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7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7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7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7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7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7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7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7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7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7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7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7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7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7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7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7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7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7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7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7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7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7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7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7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7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7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7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7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7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7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7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7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7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7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7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7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7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7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7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7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7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7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7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7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7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7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7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7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7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7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7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7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7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7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7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7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7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7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7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7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7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7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7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7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7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7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7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7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7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7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7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7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7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7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7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7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7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7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7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7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7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7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7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7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7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7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7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7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7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7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7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7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7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7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7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7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7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7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7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7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7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7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7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7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7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7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7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7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7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7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7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7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7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7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7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7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7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7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7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7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7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7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7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7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7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7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7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7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7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7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7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7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7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7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7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7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7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7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7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7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7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7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7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7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7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7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7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7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7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7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7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7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7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7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7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7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7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7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7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7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7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7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7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7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7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7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7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7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7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7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7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7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7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7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7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7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7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7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7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7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7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7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7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7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7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7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7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7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7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7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7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7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7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7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7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7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7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7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7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7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7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7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7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7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7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7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7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7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7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7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7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7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7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7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7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7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7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7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7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7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7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7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7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7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7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7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7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7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7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7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7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7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7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7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7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7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7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7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7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7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7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7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7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7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7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7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7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7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7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7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7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7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7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7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7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7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7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7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7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7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7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7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7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7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7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7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7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7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7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7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7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7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7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7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7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7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7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7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7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7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7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7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7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7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7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7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7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7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7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7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7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7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7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7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7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7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7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7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7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7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7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7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7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7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7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7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7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7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7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7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7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7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7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7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7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7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7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7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7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7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7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7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7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7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7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7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7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7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7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7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7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7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7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7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7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7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7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7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7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7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7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7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F6:G6"/>
    <mergeCell ref="I6:K6"/>
    <mergeCell ref="C12:D12"/>
    <mergeCell ref="F12:K12"/>
    <mergeCell ref="C13:D13"/>
    <mergeCell ref="F19:K19"/>
    <mergeCell ref="C6:D6"/>
    <mergeCell ref="C31:D31"/>
    <mergeCell ref="F31:K31"/>
    <mergeCell ref="B54:L54"/>
    <mergeCell ref="B1:L1"/>
    <mergeCell ref="A2:A53"/>
    <mergeCell ref="B2:L2"/>
    <mergeCell ref="M2:M53"/>
    <mergeCell ref="B3:L3"/>
    <mergeCell ref="B4:L4"/>
    <mergeCell ref="F20:G20"/>
  </mergeCells>
  <conditionalFormatting sqref="D21:D22 D25:D26">
    <cfRule type="cellIs" dxfId="0" priority="1" operator="equal">
      <formula>0</formula>
    </cfRule>
  </conditionalFormatting>
  <conditionalFormatting sqref="D21:D22 D25:D26">
    <cfRule type="expression" dxfId="0" priority="2">
      <formula>ISERR(D21)</formula>
    </cfRule>
  </conditionalFormatting>
  <conditionalFormatting sqref="D23:D24 D14:D16 G10">
    <cfRule type="cellIs" dxfId="0" priority="3" operator="equal">
      <formula>0</formula>
    </cfRule>
  </conditionalFormatting>
  <conditionalFormatting sqref="J11">
    <cfRule type="expression" dxfId="1" priority="4">
      <formula>IF(G14&gt;G13+G15,0,1)</formula>
    </cfRule>
  </conditionalFormatting>
  <conditionalFormatting sqref="K11">
    <cfRule type="expression" dxfId="0" priority="5">
      <formula>IF(OR(G14&gt;G13+G15,$J$8-$K$8=0),1,0)</formula>
    </cfRule>
  </conditionalFormatting>
  <conditionalFormatting sqref="D34">
    <cfRule type="expression" dxfId="2" priority="6">
      <formula>IF(AND($D$32="B500",$D$34&gt;12),1,IF(AND(OR($D$32="A500",$D$32="A300"),$D$34&lt;10),1,IF(AND(OR($D$32="A400",$D$32="A240"),$D$34&lt;6),1,0)))</formula>
    </cfRule>
  </conditionalFormatting>
  <conditionalFormatting sqref="G32 I32 K32">
    <cfRule type="expression" dxfId="3" priority="7">
      <formula>ISERR(G32)</formula>
    </cfRule>
  </conditionalFormatting>
  <conditionalFormatting sqref="G32 I32 K32">
    <cfRule type="cellIs" dxfId="3" priority="8" operator="equal">
      <formula>0</formula>
    </cfRule>
  </conditionalFormatting>
  <conditionalFormatting sqref="G33 I33 K33">
    <cfRule type="expression" dxfId="4" priority="9">
      <formula>ISERR(G33)</formula>
    </cfRule>
  </conditionalFormatting>
  <conditionalFormatting sqref="G33 I33 K33">
    <cfRule type="cellIs" dxfId="4" priority="10" operator="equal">
      <formula>0</formula>
    </cfRule>
  </conditionalFormatting>
  <conditionalFormatting sqref="G34 I34 K34">
    <cfRule type="expression" dxfId="5" priority="11">
      <formula>ISERR(G34)</formula>
    </cfRule>
  </conditionalFormatting>
  <conditionalFormatting sqref="G34 I34 K34">
    <cfRule type="cellIs" dxfId="5" priority="12" operator="equal">
      <formula>0</formula>
    </cfRule>
  </conditionalFormatting>
  <conditionalFormatting sqref="H36 F29 H28 F37:F38 G30">
    <cfRule type="expression" dxfId="0" priority="13">
      <formula>ISERR(H36)</formula>
    </cfRule>
  </conditionalFormatting>
  <conditionalFormatting sqref="D36">
    <cfRule type="expression" dxfId="0" priority="14">
      <formula>$D$36=0</formula>
    </cfRule>
  </conditionalFormatting>
  <conditionalFormatting sqref="D37">
    <cfRule type="expression" dxfId="2" priority="15">
      <formula>$D$37/1000&gt;MAX($D$14,$D$15)/4</formula>
    </cfRule>
  </conditionalFormatting>
  <conditionalFormatting sqref="D37">
    <cfRule type="expression" dxfId="0" priority="16">
      <formula>OR($D$36=0,$D$36="ОШИБКА")</formula>
    </cfRule>
  </conditionalFormatting>
  <conditionalFormatting sqref="F36:G36">
    <cfRule type="expression" dxfId="2" priority="17">
      <formula>$F$36&gt;1</formula>
    </cfRule>
  </conditionalFormatting>
  <conditionalFormatting sqref="F36:G36">
    <cfRule type="expression" dxfId="6" priority="18">
      <formula>ISERR(F36)</formula>
    </cfRule>
  </conditionalFormatting>
  <conditionalFormatting sqref="G13:G16">
    <cfRule type="cellIs" dxfId="1" priority="19" operator="equal">
      <formula>0</formula>
    </cfRule>
  </conditionalFormatting>
  <conditionalFormatting sqref="D18">
    <cfRule type="expression" dxfId="0" priority="20">
      <formula>$D$18=$D$15/2</formula>
    </cfRule>
  </conditionalFormatting>
  <conditionalFormatting sqref="D18">
    <cfRule type="expression" dxfId="0" priority="21">
      <formula>ISERR($D$18)</formula>
    </cfRule>
  </conditionalFormatting>
  <conditionalFormatting sqref="I13:I16 K13:K16 I20:I24 K20:K24">
    <cfRule type="cellIs" dxfId="1" priority="22" operator="equal">
      <formula>0</formula>
    </cfRule>
  </conditionalFormatting>
  <conditionalFormatting sqref="I13:I16 K13:K16 I20:I24 K20:K24">
    <cfRule type="expression" dxfId="0" priority="23">
      <formula>ISERR(I13)</formula>
    </cfRule>
  </conditionalFormatting>
  <conditionalFormatting sqref="I17 K17">
    <cfRule type="cellIs" dxfId="7" priority="24" operator="equal">
      <formula>0</formula>
    </cfRule>
  </conditionalFormatting>
  <conditionalFormatting sqref="I17 K17">
    <cfRule type="expression" dxfId="7" priority="25">
      <formula>ISERR(I17)</formula>
    </cfRule>
  </conditionalFormatting>
  <conditionalFormatting sqref="G25 I25 K25">
    <cfRule type="cellIs" dxfId="4" priority="26" operator="equal">
      <formula>0</formula>
    </cfRule>
  </conditionalFormatting>
  <conditionalFormatting sqref="G25 I25 K25">
    <cfRule type="expression" dxfId="4" priority="27">
      <formula>ISERR(G25)</formula>
    </cfRule>
  </conditionalFormatting>
  <conditionalFormatting sqref="G26 I26 K26">
    <cfRule type="cellIs" dxfId="5" priority="28" operator="equal">
      <formula>0</formula>
    </cfRule>
  </conditionalFormatting>
  <conditionalFormatting sqref="G26 I26 K26">
    <cfRule type="expression" dxfId="5" priority="29">
      <formula>ISERR(G26)</formula>
    </cfRule>
  </conditionalFormatting>
  <conditionalFormatting sqref="F28:G28">
    <cfRule type="expression" dxfId="2" priority="30">
      <formula>$F$28&gt;1</formula>
    </cfRule>
  </conditionalFormatting>
  <conditionalFormatting sqref="F28:G28">
    <cfRule type="expression" dxfId="6" priority="31">
      <formula>ISERR(F28)</formula>
    </cfRule>
  </conditionalFormatting>
  <conditionalFormatting sqref="G17">
    <cfRule type="cellIs" dxfId="7" priority="32" operator="equal">
      <formula>0</formula>
    </cfRule>
  </conditionalFormatting>
  <conditionalFormatting sqref="G17">
    <cfRule type="cellIs" dxfId="2" priority="33" operator="lessThan">
      <formula>0</formula>
    </cfRule>
  </conditionalFormatting>
  <conditionalFormatting sqref="G24">
    <cfRule type="cellIs" dxfId="2" priority="34" operator="equal">
      <formula>0</formula>
    </cfRule>
  </conditionalFormatting>
  <conditionalFormatting sqref="J8:K8">
    <cfRule type="expression" dxfId="2" priority="35">
      <formula>IF(AND($J$8&gt;=$K$8,$K$8&lt;&gt;0),1,0)</formula>
    </cfRule>
  </conditionalFormatting>
  <conditionalFormatting sqref="D17">
    <cfRule type="expression" dxfId="0" priority="36">
      <formula>$D$17=$D$14/2</formula>
    </cfRule>
  </conditionalFormatting>
  <conditionalFormatting sqref="D17">
    <cfRule type="expression" dxfId="1" priority="37">
      <formula>ISERR($D$17)</formula>
    </cfRule>
  </conditionalFormatting>
  <conditionalFormatting sqref="D19">
    <cfRule type="expression" dxfId="0" priority="38">
      <formula>$D$19=$D$14/2</formula>
    </cfRule>
  </conditionalFormatting>
  <conditionalFormatting sqref="D19">
    <cfRule type="expression" dxfId="1" priority="39">
      <formula>ISERR($D$19)</formula>
    </cfRule>
  </conditionalFormatting>
  <conditionalFormatting sqref="D20">
    <cfRule type="expression" dxfId="0" priority="40">
      <formula>$D$20=$D$15/2</formula>
    </cfRule>
  </conditionalFormatting>
  <conditionalFormatting sqref="D20">
    <cfRule type="expression" dxfId="1" priority="41">
      <formula>ISERR($D$20)</formula>
    </cfRule>
  </conditionalFormatting>
  <dataValidations>
    <dataValidation type="decimal" allowBlank="1" showInputMessage="1" showErrorMessage="1" prompt=" - " sqref="G24">
      <formula1>0.0</formula1>
      <formula2>1.0</formula2>
    </dataValidation>
    <dataValidation type="list" allowBlank="1" showInputMessage="1" showErrorMessage="1" prompt=" - " sqref="D34">
      <formula1>"3.0,4.0,5.0,6.0,8.0,10.0,12.0,14.0,16.0,18.0,20.0,22.0,25.0,28.0,32.0,36.0,40.0"</formula1>
    </dataValidation>
    <dataValidation type="decimal" operator="greaterThanOrEqual" allowBlank="1" showInputMessage="1" showErrorMessage="1" prompt=" - " sqref="J8:K8 D9:D11 J11:K11 D35 D37">
      <formula1>0.0</formula1>
    </dataValidation>
    <dataValidation type="list" allowBlank="1" showInputMessage="1" showErrorMessage="1" prompt=" - " sqref="D32">
      <formula1>"A240,A300,A400,A500,B500"</formula1>
    </dataValidation>
    <dataValidation type="list" allowBlank="1" showInputMessage="1" showErrorMessage="1" prompt=" - " sqref="G21">
      <formula1>"B10,B15,B20,B25,B30,B35,B40,B45,B50,B55,B60"</formula1>
    </dataValidation>
    <dataValidation type="list" allowBlank="1" showInputMessage="1" showErrorMessage="1" prompt=" - " sqref="G23">
      <formula1>$L$20:$L$21</formula1>
    </dataValidation>
  </dataValidations>
  <printOptions/>
  <pageMargins bottom="0.75" footer="0.0" header="0.0" left="0.7" right="0.7" top="0.75"/>
  <pageSetup orientation="landscape"/>
  <headerFooter>
    <oddFooter>&amp;LРасчет выполнил: ________________________ &amp;R&amp;D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3" width="10.0"/>
    <col customWidth="1" min="4" max="26" width="8.0"/>
  </cols>
  <sheetData>
    <row r="1" ht="12.75" customHeight="1"/>
    <row r="2" ht="15.75" customHeight="1">
      <c r="A2" s="76" t="s">
        <v>48</v>
      </c>
      <c r="B2" s="76" t="s">
        <v>91</v>
      </c>
      <c r="C2" s="76" t="s">
        <v>92</v>
      </c>
    </row>
    <row r="3" ht="12.75" customHeight="1">
      <c r="A3" s="76" t="s">
        <v>93</v>
      </c>
      <c r="B3" s="76">
        <v>61.2</v>
      </c>
      <c r="C3" s="76">
        <v>5.7</v>
      </c>
    </row>
    <row r="4" ht="12.75" customHeight="1">
      <c r="A4" s="76" t="s">
        <v>94</v>
      </c>
      <c r="B4" s="76">
        <v>86.6</v>
      </c>
      <c r="C4" s="76">
        <v>7.6</v>
      </c>
    </row>
    <row r="5" ht="12.75" customHeight="1">
      <c r="A5" s="76" t="s">
        <v>95</v>
      </c>
      <c r="B5" s="76">
        <v>117.0</v>
      </c>
      <c r="C5" s="76">
        <v>9.2</v>
      </c>
    </row>
    <row r="6" ht="12.75" customHeight="1">
      <c r="A6" s="76" t="s">
        <v>96</v>
      </c>
      <c r="B6" s="76">
        <v>148.0</v>
      </c>
      <c r="C6" s="76">
        <v>10.7</v>
      </c>
    </row>
    <row r="7" ht="12.75" customHeight="1">
      <c r="A7" s="76" t="s">
        <v>49</v>
      </c>
      <c r="B7" s="76">
        <v>173.0</v>
      </c>
      <c r="C7" s="76">
        <v>11.7</v>
      </c>
    </row>
    <row r="8" ht="12.75" customHeight="1">
      <c r="A8" s="76" t="s">
        <v>97</v>
      </c>
      <c r="B8" s="76">
        <v>199.0</v>
      </c>
      <c r="C8" s="76">
        <v>13.3</v>
      </c>
    </row>
    <row r="9" ht="12.75" customHeight="1">
      <c r="A9" s="76" t="s">
        <v>98</v>
      </c>
      <c r="B9" s="76">
        <v>224.0</v>
      </c>
      <c r="C9" s="76">
        <v>14.3</v>
      </c>
    </row>
    <row r="10" ht="12.75" customHeight="1">
      <c r="A10" s="76" t="s">
        <v>99</v>
      </c>
      <c r="B10" s="76">
        <v>255.0</v>
      </c>
      <c r="C10" s="76">
        <v>15.3</v>
      </c>
    </row>
    <row r="11" ht="12.75" customHeight="1">
      <c r="A11" s="76" t="s">
        <v>100</v>
      </c>
      <c r="B11" s="76">
        <v>280.0</v>
      </c>
      <c r="C11" s="76">
        <v>16.3</v>
      </c>
    </row>
    <row r="12" ht="12.75" customHeight="1">
      <c r="A12" s="76" t="s">
        <v>101</v>
      </c>
      <c r="B12" s="76">
        <v>306.0</v>
      </c>
      <c r="C12" s="76">
        <v>17.3</v>
      </c>
    </row>
    <row r="13" ht="12.75" customHeight="1">
      <c r="A13" s="76" t="s">
        <v>102</v>
      </c>
      <c r="B13" s="76">
        <v>336.0</v>
      </c>
      <c r="C13" s="76">
        <v>18.3</v>
      </c>
    </row>
    <row r="14" ht="12.75" customHeight="1"/>
    <row r="15" ht="15.75" customHeight="1">
      <c r="A15" s="76" t="s">
        <v>48</v>
      </c>
      <c r="B15" s="76" t="s">
        <v>103</v>
      </c>
      <c r="C15" s="76" t="s">
        <v>104</v>
      </c>
    </row>
    <row r="16" ht="12.75" customHeight="1">
      <c r="A16" s="76" t="s">
        <v>105</v>
      </c>
      <c r="B16" s="76">
        <v>2190.0</v>
      </c>
      <c r="C16" s="76">
        <v>1730.0</v>
      </c>
    </row>
    <row r="17" ht="12.75" customHeight="1">
      <c r="A17" s="76" t="s">
        <v>106</v>
      </c>
      <c r="B17" s="76">
        <v>2750.0</v>
      </c>
      <c r="C17" s="76">
        <v>2190.0</v>
      </c>
    </row>
    <row r="18" ht="12.75" customHeight="1">
      <c r="A18" s="76" t="s">
        <v>107</v>
      </c>
      <c r="B18" s="76">
        <v>3620.0</v>
      </c>
      <c r="C18" s="76">
        <v>2900.0</v>
      </c>
    </row>
    <row r="19" ht="12.75" customHeight="1">
      <c r="A19" s="76" t="s">
        <v>75</v>
      </c>
      <c r="B19" s="76">
        <v>4430.0</v>
      </c>
      <c r="C19" s="76">
        <v>3060.0</v>
      </c>
    </row>
    <row r="20" ht="12.75" customHeight="1">
      <c r="A20" s="76" t="s">
        <v>108</v>
      </c>
      <c r="B20" s="76">
        <v>4230.0</v>
      </c>
      <c r="C20" s="76">
        <v>3060.0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